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defaultThemeVersion="124226"/>
  <mc:AlternateContent xmlns:mc="http://schemas.openxmlformats.org/markup-compatibility/2006">
    <mc:Choice Requires="x15">
      <x15ac:absPath xmlns:x15ac="http://schemas.microsoft.com/office/spreadsheetml/2010/11/ac" url="Z:\0-NOVA~1\TRSEPB~1\2021\SERVIO~1.DEA\SERVIO~1.DEA\3C536~1.PLA\EMBRAN~1\"/>
    </mc:Choice>
  </mc:AlternateContent>
  <xr:revisionPtr revIDLastSave="0" documentId="13_ncr:1_{FD0C1696-676A-4FBC-BE11-821D842EF826}" xr6:coauthVersionLast="36" xr6:coauthVersionMax="46" xr10:uidLastSave="{00000000-0000-0000-0000-000000000000}"/>
  <bookViews>
    <workbookView xWindow="-120" yWindow="-120" windowWidth="20730" windowHeight="11160" tabRatio="915" firstSheet="5" activeTab="8" xr2:uid="{00000000-000D-0000-FFFF-FFFF00000000}"/>
  </bookViews>
  <sheets>
    <sheet name="Produtividade" sheetId="18" r:id="rId1"/>
    <sheet name="CUSTO GLOBAL SERVIÇO DE LIMPEZA" sheetId="20" r:id="rId2"/>
    <sheet name="Comp. Hom-Mês-Serv. DIÁRIA" sheetId="1" r:id="rId3"/>
    <sheet name="Comp. Hom-Mês-Serv. SEMANAL" sheetId="17" r:id="rId4"/>
    <sheet name="Comp. Hom-Mês-Serv. MENSAL" sheetId="19" r:id="rId5"/>
    <sheet name="2.3-Transporte" sheetId="5" r:id="rId6"/>
    <sheet name="2.3-Aux. Refeição-Alimentação" sheetId="7" r:id="rId7"/>
    <sheet name="ANEXO III-Materiais e Produtos" sheetId="2" r:id="rId8"/>
    <sheet name="ANEXO IV-Equip. e Utensílios" sheetId="3" r:id="rId9"/>
    <sheet name="ANEXO VI-Uniformes e EPIs" sheetId="4" r:id="rId10"/>
  </sheets>
  <definedNames>
    <definedName name="_xlnm._FilterDatabase" localSheetId="7" hidden="1">'ANEXO III-Materiais e Produtos'!$B$3:$H$43</definedName>
    <definedName name="_xlnm.Print_Area" localSheetId="5">'2.3-Transporte'!$A$1:$L$17</definedName>
    <definedName name="_xlnm.Print_Area" localSheetId="8">'ANEXO IV-Equip. e Utensílios'!$A$1:$J$38</definedName>
    <definedName name="_xlnm.Print_Area" localSheetId="9">'ANEXO VI-Uniformes e EPIs'!$A$1:$G$19</definedName>
    <definedName name="_xlnm.Print_Area" localSheetId="2">'Comp. Hom-Mês-Serv. DIÁRIA'!$A$1:$AA$271</definedName>
    <definedName name="_xlnm.Print_Area" localSheetId="4">'Comp. Hom-Mês-Serv. MENSAL'!$A$1:$AA$271</definedName>
    <definedName name="_xlnm.Print_Area" localSheetId="3">'Comp. Hom-Mês-Serv. SEMANAL'!$A$1:$AA$271</definedName>
  </definedNames>
  <calcPr calcId="191029"/>
</workbook>
</file>

<file path=xl/calcChain.xml><?xml version="1.0" encoding="utf-8"?>
<calcChain xmlns="http://schemas.openxmlformats.org/spreadsheetml/2006/main">
  <c r="E42" i="2" l="1"/>
  <c r="E41" i="2"/>
  <c r="E40" i="2"/>
  <c r="E39" i="2"/>
  <c r="E38" i="2"/>
  <c r="E37" i="2"/>
  <c r="E36" i="2"/>
  <c r="E35" i="2"/>
  <c r="E34" i="2"/>
  <c r="E33" i="2"/>
  <c r="E32" i="2"/>
  <c r="E31" i="2"/>
  <c r="E30" i="2"/>
  <c r="E29" i="2"/>
  <c r="E28" i="2"/>
  <c r="E27" i="2"/>
  <c r="E24" i="2"/>
  <c r="E23" i="2"/>
  <c r="E22" i="2"/>
  <c r="E21" i="2"/>
  <c r="E20" i="2"/>
  <c r="E19" i="2"/>
  <c r="E18" i="2"/>
  <c r="E17" i="2"/>
  <c r="E16" i="2"/>
  <c r="E15" i="2"/>
  <c r="E14" i="2"/>
  <c r="E13" i="2"/>
  <c r="E12" i="2"/>
  <c r="E11" i="2"/>
  <c r="E10" i="2"/>
  <c r="E9" i="2"/>
  <c r="E8" i="2"/>
  <c r="E7" i="2"/>
  <c r="E5" i="2"/>
  <c r="E4" i="2"/>
  <c r="F24" i="3" l="1"/>
  <c r="G24" i="3" s="1"/>
  <c r="G29" i="2"/>
  <c r="H29" i="2" s="1"/>
  <c r="G12" i="2"/>
  <c r="H12" i="2" s="1"/>
  <c r="G11" i="2"/>
  <c r="H11" i="2" s="1"/>
  <c r="G7" i="2"/>
  <c r="H7" i="2" s="1"/>
  <c r="D17" i="4" l="1"/>
  <c r="F17" i="4" s="1"/>
  <c r="F15" i="4"/>
  <c r="D10" i="4"/>
  <c r="F10" i="4" s="1"/>
  <c r="D16" i="4"/>
  <c r="F16" i="4" s="1"/>
  <c r="D15" i="4"/>
  <c r="D14" i="4"/>
  <c r="F14" i="4" s="1"/>
  <c r="D13" i="4"/>
  <c r="F13" i="4" s="1"/>
  <c r="D12" i="4"/>
  <c r="F12" i="4" s="1"/>
  <c r="D11" i="4" l="1"/>
  <c r="F11" i="4" s="1"/>
  <c r="B12" i="18" l="1"/>
  <c r="B40" i="18" s="1"/>
  <c r="B13" i="18"/>
  <c r="B41" i="18" s="1"/>
  <c r="B39" i="18"/>
  <c r="B38" i="18"/>
  <c r="B37" i="18"/>
  <c r="B36" i="18"/>
  <c r="B35" i="18"/>
  <c r="B34" i="18"/>
  <c r="B33" i="18"/>
  <c r="B32" i="18"/>
  <c r="B31" i="18"/>
  <c r="B21" i="18"/>
  <c r="B25" i="18"/>
  <c r="B24" i="18"/>
  <c r="B23" i="18"/>
  <c r="B22" i="18"/>
  <c r="B20" i="18"/>
  <c r="B19" i="18"/>
  <c r="B18" i="18"/>
  <c r="B17" i="18"/>
  <c r="B27" i="18" l="1"/>
  <c r="B26" i="18"/>
  <c r="G14" i="4"/>
  <c r="F9" i="4"/>
  <c r="G9" i="4" s="1"/>
  <c r="G16" i="4"/>
  <c r="G15" i="4"/>
  <c r="G13" i="4"/>
  <c r="G12" i="4"/>
  <c r="G11" i="4"/>
  <c r="B233" i="1" l="1"/>
  <c r="E233" i="1" s="1"/>
  <c r="E41" i="18" l="1"/>
  <c r="E40" i="18"/>
  <c r="E39" i="18"/>
  <c r="E38" i="18"/>
  <c r="E37" i="18"/>
  <c r="E36" i="18"/>
  <c r="E35" i="18"/>
  <c r="E34" i="18"/>
  <c r="E33" i="18"/>
  <c r="E32" i="18"/>
  <c r="E31" i="18"/>
  <c r="D41" i="18"/>
  <c r="D40" i="18"/>
  <c r="D39" i="18"/>
  <c r="D38" i="18"/>
  <c r="D37" i="18"/>
  <c r="D36" i="18"/>
  <c r="D35" i="18"/>
  <c r="D34" i="18"/>
  <c r="D33" i="18"/>
  <c r="D32" i="18"/>
  <c r="D31" i="18"/>
  <c r="E27" i="18"/>
  <c r="E26" i="18"/>
  <c r="E25" i="18"/>
  <c r="E24" i="18"/>
  <c r="E23" i="18"/>
  <c r="E22" i="18"/>
  <c r="E21" i="18"/>
  <c r="E20" i="18"/>
  <c r="E19" i="18"/>
  <c r="E18" i="18"/>
  <c r="E17" i="18"/>
  <c r="D27" i="18"/>
  <c r="D26" i="18"/>
  <c r="D25" i="18"/>
  <c r="D24" i="18"/>
  <c r="D23" i="18"/>
  <c r="D22" i="18"/>
  <c r="D21" i="18"/>
  <c r="D20" i="18"/>
  <c r="D19" i="18"/>
  <c r="D18" i="18"/>
  <c r="D17" i="18"/>
  <c r="B245" i="19" l="1"/>
  <c r="B239" i="19"/>
  <c r="B233" i="19"/>
  <c r="B227" i="19"/>
  <c r="B221" i="19"/>
  <c r="B215" i="19"/>
  <c r="B209" i="19"/>
  <c r="B203" i="19"/>
  <c r="B197" i="19"/>
  <c r="B191" i="19"/>
  <c r="B185" i="19"/>
  <c r="B15" i="5"/>
  <c r="A12" i="5"/>
  <c r="B16" i="5" l="1"/>
  <c r="E262" i="19"/>
  <c r="E245" i="19"/>
  <c r="E239" i="19"/>
  <c r="E233" i="19"/>
  <c r="H156" i="19"/>
  <c r="F156" i="19"/>
  <c r="D156" i="19"/>
  <c r="F154" i="19"/>
  <c r="H154" i="19" s="1"/>
  <c r="F153" i="19"/>
  <c r="H153" i="19" s="1"/>
  <c r="E135" i="19"/>
  <c r="F128" i="19"/>
  <c r="F135" i="19" s="1"/>
  <c r="E128" i="19"/>
  <c r="A40" i="19"/>
  <c r="E32" i="19"/>
  <c r="E37" i="19" s="1"/>
  <c r="B245" i="17"/>
  <c r="B239" i="17"/>
  <c r="B233" i="17"/>
  <c r="B227" i="17"/>
  <c r="B221" i="17"/>
  <c r="B215" i="17"/>
  <c r="B209" i="17"/>
  <c r="B203" i="17"/>
  <c r="B197" i="17"/>
  <c r="B191" i="17"/>
  <c r="B185" i="17"/>
  <c r="B245" i="1"/>
  <c r="B239" i="1"/>
  <c r="B227" i="1"/>
  <c r="B221" i="1"/>
  <c r="B215" i="1"/>
  <c r="B209" i="1"/>
  <c r="B203" i="1"/>
  <c r="B197" i="1"/>
  <c r="B191" i="1"/>
  <c r="B185" i="1"/>
  <c r="E74" i="19" l="1"/>
  <c r="E74" i="1"/>
  <c r="E35" i="19"/>
  <c r="E38" i="19"/>
  <c r="E34" i="19"/>
  <c r="E36" i="19"/>
  <c r="E33" i="19"/>
  <c r="E262" i="17"/>
  <c r="E245" i="17"/>
  <c r="E239" i="17"/>
  <c r="E233" i="17"/>
  <c r="H156" i="17"/>
  <c r="F156" i="17"/>
  <c r="D156" i="17"/>
  <c r="F154" i="17"/>
  <c r="H154" i="17" s="1"/>
  <c r="F153" i="17"/>
  <c r="H153" i="17" s="1"/>
  <c r="F128" i="17"/>
  <c r="F135" i="17" s="1"/>
  <c r="E128" i="17"/>
  <c r="E135" i="17" s="1"/>
  <c r="E74" i="17"/>
  <c r="A40" i="17"/>
  <c r="E32" i="17"/>
  <c r="E37" i="17" s="1"/>
  <c r="E239" i="1"/>
  <c r="E36" i="17" l="1"/>
  <c r="E39" i="19"/>
  <c r="F119" i="19" s="1"/>
  <c r="F109" i="19"/>
  <c r="E35" i="17"/>
  <c r="E38" i="17"/>
  <c r="E33" i="17"/>
  <c r="E34" i="17"/>
  <c r="E46" i="19" l="1"/>
  <c r="E108" i="19"/>
  <c r="E45" i="19"/>
  <c r="E47" i="19" s="1"/>
  <c r="F108" i="19"/>
  <c r="F88" i="19"/>
  <c r="E88" i="19"/>
  <c r="E89" i="19" s="1"/>
  <c r="F112" i="19"/>
  <c r="F110" i="19"/>
  <c r="D169" i="19"/>
  <c r="E93" i="19"/>
  <c r="E119" i="19"/>
  <c r="F169" i="19"/>
  <c r="E39" i="17"/>
  <c r="D169" i="17" s="1"/>
  <c r="E169" i="19"/>
  <c r="E112" i="19"/>
  <c r="E110" i="19"/>
  <c r="E109" i="19"/>
  <c r="F93" i="19"/>
  <c r="F89" i="19"/>
  <c r="F96" i="19" l="1"/>
  <c r="F110" i="17"/>
  <c r="F108" i="17"/>
  <c r="F109" i="17"/>
  <c r="E119" i="17"/>
  <c r="E46" i="17"/>
  <c r="F92" i="17" s="1"/>
  <c r="E108" i="17"/>
  <c r="E88" i="17"/>
  <c r="F93" i="17"/>
  <c r="F112" i="17"/>
  <c r="E109" i="17"/>
  <c r="E97" i="19"/>
  <c r="F92" i="19"/>
  <c r="F91" i="19"/>
  <c r="E96" i="19"/>
  <c r="F97" i="19"/>
  <c r="F95" i="19" s="1"/>
  <c r="E91" i="19"/>
  <c r="E92" i="19"/>
  <c r="E110" i="17"/>
  <c r="F169" i="17"/>
  <c r="E45" i="17"/>
  <c r="F119" i="17"/>
  <c r="E112" i="17"/>
  <c r="E169" i="17"/>
  <c r="F88" i="17"/>
  <c r="E93" i="17"/>
  <c r="E81" i="19"/>
  <c r="E55" i="19"/>
  <c r="F55" i="19"/>
  <c r="E56" i="19"/>
  <c r="F81" i="19"/>
  <c r="E54" i="19"/>
  <c r="F53" i="19"/>
  <c r="F60" i="19"/>
  <c r="E58" i="19"/>
  <c r="E57" i="19"/>
  <c r="E59" i="19"/>
  <c r="E60" i="19"/>
  <c r="E53" i="19"/>
  <c r="E89" i="17"/>
  <c r="F89" i="17"/>
  <c r="E97" i="17" l="1"/>
  <c r="E91" i="17"/>
  <c r="F97" i="17"/>
  <c r="F95" i="17" s="1"/>
  <c r="E90" i="19"/>
  <c r="E96" i="17"/>
  <c r="E92" i="17"/>
  <c r="E47" i="17"/>
  <c r="E54" i="17" s="1"/>
  <c r="F91" i="17"/>
  <c r="F90" i="17" s="1"/>
  <c r="F96" i="17"/>
  <c r="E95" i="19"/>
  <c r="F90" i="19"/>
  <c r="F81" i="17"/>
  <c r="F60" i="17"/>
  <c r="E53" i="17"/>
  <c r="E81" i="17"/>
  <c r="E56" i="17"/>
  <c r="E61" i="19"/>
  <c r="E62" i="19"/>
  <c r="E82" i="19"/>
  <c r="F61" i="19"/>
  <c r="E95" i="17"/>
  <c r="F53" i="17" l="1"/>
  <c r="E60" i="17"/>
  <c r="E90" i="17"/>
  <c r="E59" i="17"/>
  <c r="E57" i="17"/>
  <c r="F55" i="17"/>
  <c r="F61" i="17" s="1"/>
  <c r="F62" i="17" s="1"/>
  <c r="E55" i="17"/>
  <c r="E58" i="17"/>
  <c r="F82" i="19"/>
  <c r="F62" i="19"/>
  <c r="E121" i="19"/>
  <c r="E94" i="19"/>
  <c r="E98" i="19" s="1"/>
  <c r="E113" i="19"/>
  <c r="E114" i="19" s="1"/>
  <c r="E133" i="19" s="1"/>
  <c r="E120" i="19"/>
  <c r="F82" i="17"/>
  <c r="E61" i="17" l="1"/>
  <c r="E62" i="17" s="1"/>
  <c r="E82" i="17"/>
  <c r="D171" i="19"/>
  <c r="E171" i="19"/>
  <c r="E123" i="19"/>
  <c r="E134" i="19" s="1"/>
  <c r="E136" i="19" s="1"/>
  <c r="F121" i="19"/>
  <c r="F120" i="19"/>
  <c r="F113" i="19"/>
  <c r="F114" i="19" s="1"/>
  <c r="F133" i="19" s="1"/>
  <c r="F94" i="19"/>
  <c r="F98" i="19" s="1"/>
  <c r="F171" i="19" s="1"/>
  <c r="E94" i="17"/>
  <c r="E98" i="17" s="1"/>
  <c r="E121" i="17"/>
  <c r="E120" i="17"/>
  <c r="E123" i="17" s="1"/>
  <c r="E134" i="17" s="1"/>
  <c r="E113" i="17"/>
  <c r="E114" i="17" s="1"/>
  <c r="E133" i="17" s="1"/>
  <c r="E136" i="17" s="1"/>
  <c r="F94" i="17"/>
  <c r="F98" i="17" s="1"/>
  <c r="F171" i="17" s="1"/>
  <c r="F120" i="17"/>
  <c r="F121" i="17"/>
  <c r="F113" i="17"/>
  <c r="F114" i="17" s="1"/>
  <c r="F133" i="17" s="1"/>
  <c r="F123" i="19" l="1"/>
  <c r="F134" i="19" s="1"/>
  <c r="F136" i="19" s="1"/>
  <c r="F172" i="19" s="1"/>
  <c r="E172" i="19"/>
  <c r="D172" i="19"/>
  <c r="E172" i="17"/>
  <c r="D172" i="17"/>
  <c r="F123" i="17"/>
  <c r="F134" i="17" s="1"/>
  <c r="F136" i="17" s="1"/>
  <c r="E171" i="17"/>
  <c r="D171" i="17"/>
  <c r="F172" i="17" l="1"/>
  <c r="B6" i="5" l="1"/>
  <c r="B9" i="5" s="1"/>
  <c r="A2" i="5"/>
  <c r="E69" i="19" l="1"/>
  <c r="E69" i="17"/>
  <c r="E69" i="1"/>
  <c r="F37" i="3"/>
  <c r="G37" i="3" s="1"/>
  <c r="F36" i="3"/>
  <c r="G36" i="3" s="1"/>
  <c r="F35" i="3"/>
  <c r="G35" i="3" s="1"/>
  <c r="F34" i="3"/>
  <c r="G34" i="3" s="1"/>
  <c r="F33" i="3"/>
  <c r="G33" i="3" s="1"/>
  <c r="F32" i="3"/>
  <c r="G32" i="3" s="1"/>
  <c r="F31" i="3"/>
  <c r="G31" i="3" s="1"/>
  <c r="F30" i="3"/>
  <c r="G30" i="3" s="1"/>
  <c r="F29" i="3"/>
  <c r="G29" i="3" s="1"/>
  <c r="F28" i="3"/>
  <c r="G28" i="3" s="1"/>
  <c r="F27" i="3"/>
  <c r="G27" i="3" s="1"/>
  <c r="F26" i="3"/>
  <c r="G26" i="3" s="1"/>
  <c r="F25" i="3"/>
  <c r="G25" i="3" s="1"/>
  <c r="F23" i="3"/>
  <c r="G23" i="3" s="1"/>
  <c r="F22" i="3"/>
  <c r="G22" i="3" s="1"/>
  <c r="F21" i="3"/>
  <c r="G21" i="3" s="1"/>
  <c r="F20" i="3"/>
  <c r="G20" i="3" s="1"/>
  <c r="F19" i="3"/>
  <c r="G19" i="3" s="1"/>
  <c r="F18" i="3"/>
  <c r="G18" i="3" s="1"/>
  <c r="F17" i="3"/>
  <c r="G17" i="3" s="1"/>
  <c r="F16" i="3"/>
  <c r="G16" i="3" s="1"/>
  <c r="F15" i="3"/>
  <c r="G15" i="3" s="1"/>
  <c r="F14" i="3"/>
  <c r="G14" i="3" s="1"/>
  <c r="F13" i="3"/>
  <c r="G13" i="3" s="1"/>
  <c r="F12" i="3"/>
  <c r="G12" i="3" s="1"/>
  <c r="F11" i="3"/>
  <c r="G11" i="3" s="1"/>
  <c r="F10" i="3"/>
  <c r="F9" i="3"/>
  <c r="F8" i="3"/>
  <c r="F7" i="3"/>
  <c r="F6" i="3"/>
  <c r="F5" i="3"/>
  <c r="F4" i="3"/>
  <c r="G42" i="2"/>
  <c r="H42" i="2" s="1"/>
  <c r="G41" i="2"/>
  <c r="H41" i="2" s="1"/>
  <c r="G40" i="2"/>
  <c r="H40" i="2" s="1"/>
  <c r="G39" i="2"/>
  <c r="H39" i="2" s="1"/>
  <c r="G38" i="2"/>
  <c r="H38" i="2" s="1"/>
  <c r="G37" i="2"/>
  <c r="H37" i="2" s="1"/>
  <c r="G36" i="2"/>
  <c r="H36" i="2" s="1"/>
  <c r="G10" i="4"/>
  <c r="G26" i="2" l="1"/>
  <c r="G25" i="2" l="1"/>
  <c r="G22" i="2"/>
  <c r="G5" i="2"/>
  <c r="G4" i="2"/>
  <c r="G6" i="2"/>
  <c r="G9" i="2"/>
  <c r="G8" i="2"/>
  <c r="G10" i="2"/>
  <c r="G24" i="2"/>
  <c r="G23" i="2"/>
  <c r="G21" i="2"/>
  <c r="G20" i="2"/>
  <c r="G19" i="2"/>
  <c r="G18" i="2"/>
  <c r="G17" i="2"/>
  <c r="G16" i="2"/>
  <c r="G15" i="2"/>
  <c r="G14" i="2"/>
  <c r="G13" i="2"/>
  <c r="G27" i="2"/>
  <c r="G28" i="2"/>
  <c r="G35" i="2"/>
  <c r="G34" i="2"/>
  <c r="G33" i="2"/>
  <c r="G32" i="2"/>
  <c r="G31" i="2"/>
  <c r="G30" i="2"/>
  <c r="G43" i="2" l="1"/>
  <c r="H24" i="2"/>
  <c r="H23" i="2"/>
  <c r="G4" i="3"/>
  <c r="F38" i="3" l="1"/>
  <c r="G17" i="4"/>
  <c r="F8" i="4"/>
  <c r="G8" i="4" s="1"/>
  <c r="F7" i="4"/>
  <c r="G7" i="4" s="1"/>
  <c r="F6" i="4"/>
  <c r="G6" i="4" s="1"/>
  <c r="F5" i="4"/>
  <c r="G5" i="4" s="1"/>
  <c r="F4" i="4"/>
  <c r="G5" i="3" l="1"/>
  <c r="G7" i="3"/>
  <c r="H26" i="2"/>
  <c r="H27" i="2"/>
  <c r="H28" i="2"/>
  <c r="H30" i="2"/>
  <c r="H31" i="2"/>
  <c r="H32" i="2"/>
  <c r="H33" i="2"/>
  <c r="H34" i="2"/>
  <c r="H35" i="2"/>
  <c r="G8" i="3" l="1"/>
  <c r="G9" i="3"/>
  <c r="G6" i="3"/>
  <c r="G10" i="3"/>
  <c r="B5" i="7" l="1"/>
  <c r="B6" i="7" s="1"/>
  <c r="E70" i="19" l="1"/>
  <c r="E75" i="19" s="1"/>
  <c r="E70" i="17"/>
  <c r="E75" i="17" s="1"/>
  <c r="F154" i="1"/>
  <c r="H154" i="1" s="1"/>
  <c r="F153" i="1"/>
  <c r="H153" i="1" s="1"/>
  <c r="F83" i="17" l="1"/>
  <c r="F84" i="17" s="1"/>
  <c r="F170" i="17" s="1"/>
  <c r="E83" i="17"/>
  <c r="E84" i="17" s="1"/>
  <c r="F83" i="19"/>
  <c r="F84" i="19" s="1"/>
  <c r="F170" i="19" s="1"/>
  <c r="E83" i="19"/>
  <c r="E84" i="19" s="1"/>
  <c r="G4" i="4"/>
  <c r="F18" i="4"/>
  <c r="G38" i="3"/>
  <c r="D143" i="1" s="1"/>
  <c r="D143" i="19" l="1"/>
  <c r="D143" i="17"/>
  <c r="D170" i="19"/>
  <c r="E170" i="19"/>
  <c r="D170" i="17"/>
  <c r="E170" i="17"/>
  <c r="G18" i="4"/>
  <c r="H5" i="2"/>
  <c r="D141" i="1" l="1"/>
  <c r="D141" i="19"/>
  <c r="D141" i="17"/>
  <c r="E70" i="1"/>
  <c r="A2" i="7"/>
  <c r="E75" i="1" l="1"/>
  <c r="A40" i="1"/>
  <c r="E245" i="1"/>
  <c r="E262" i="1" l="1"/>
  <c r="E32" i="1"/>
  <c r="H156" i="1"/>
  <c r="F156" i="1"/>
  <c r="D156" i="1" l="1"/>
  <c r="F128" i="1"/>
  <c r="F135" i="1" s="1"/>
  <c r="E128" i="1"/>
  <c r="E135" i="1" s="1"/>
  <c r="F83" i="1" l="1"/>
  <c r="E83" i="1" l="1"/>
  <c r="E34" i="1" l="1"/>
  <c r="E35" i="1"/>
  <c r="E36" i="1"/>
  <c r="E37" i="1"/>
  <c r="E38" i="1"/>
  <c r="E33" i="1"/>
  <c r="E39" i="1" l="1"/>
  <c r="E88" i="1" l="1"/>
  <c r="E89" i="1" s="1"/>
  <c r="E45" i="1"/>
  <c r="E46" i="1"/>
  <c r="E108" i="1"/>
  <c r="F112" i="1"/>
  <c r="F108" i="1"/>
  <c r="F109" i="1"/>
  <c r="E112" i="1"/>
  <c r="E109" i="1"/>
  <c r="E110" i="1"/>
  <c r="F88" i="1"/>
  <c r="E93" i="1"/>
  <c r="F93" i="1"/>
  <c r="F110" i="1"/>
  <c r="F169" i="1"/>
  <c r="E169" i="1"/>
  <c r="D169" i="1"/>
  <c r="E119" i="1"/>
  <c r="F119" i="1"/>
  <c r="E97" i="1" l="1"/>
  <c r="E95" i="1" s="1"/>
  <c r="E91" i="1"/>
  <c r="F91" i="1"/>
  <c r="E92" i="1"/>
  <c r="F92" i="1"/>
  <c r="E96" i="1"/>
  <c r="F89" i="1"/>
  <c r="F97" i="1"/>
  <c r="F96" i="1"/>
  <c r="E47" i="1"/>
  <c r="F90" i="1" l="1"/>
  <c r="E90" i="1"/>
  <c r="E56" i="1"/>
  <c r="F95" i="1"/>
  <c r="E55" i="1"/>
  <c r="E58" i="1"/>
  <c r="E57" i="1"/>
  <c r="E54" i="1"/>
  <c r="E53" i="1"/>
  <c r="F55" i="1"/>
  <c r="F81" i="1"/>
  <c r="E81" i="1"/>
  <c r="F60" i="1"/>
  <c r="E59" i="1"/>
  <c r="F53" i="1"/>
  <c r="E60" i="1"/>
  <c r="E61" i="1" l="1"/>
  <c r="F61" i="1"/>
  <c r="E82" i="1" l="1"/>
  <c r="E84" i="1" s="1"/>
  <c r="E170" i="1" s="1"/>
  <c r="E62" i="1"/>
  <c r="E94" i="1" s="1"/>
  <c r="E98" i="1" s="1"/>
  <c r="F82" i="1"/>
  <c r="F84" i="1" s="1"/>
  <c r="F62" i="1"/>
  <c r="D170" i="1" l="1"/>
  <c r="F170" i="1"/>
  <c r="E120" i="1"/>
  <c r="D171" i="1"/>
  <c r="E171" i="1"/>
  <c r="E121" i="1"/>
  <c r="E113" i="1"/>
  <c r="E114" i="1" s="1"/>
  <c r="E133" i="1" s="1"/>
  <c r="F121" i="1"/>
  <c r="F120" i="1"/>
  <c r="F113" i="1"/>
  <c r="F114" i="1" s="1"/>
  <c r="F133" i="1" s="1"/>
  <c r="F94" i="1"/>
  <c r="F98" i="1" l="1"/>
  <c r="F171" i="1" s="1"/>
  <c r="E123" i="1"/>
  <c r="E134" i="1" s="1"/>
  <c r="E136" i="1" s="1"/>
  <c r="D172" i="1" s="1"/>
  <c r="F123" i="1"/>
  <c r="F134" i="1" s="1"/>
  <c r="F136" i="1" s="1"/>
  <c r="H6" i="2"/>
  <c r="H8" i="2"/>
  <c r="H9" i="2"/>
  <c r="H10" i="2"/>
  <c r="H13" i="2"/>
  <c r="H14" i="2"/>
  <c r="H15" i="2"/>
  <c r="H16" i="2"/>
  <c r="H17" i="2"/>
  <c r="H18" i="2"/>
  <c r="H19" i="2"/>
  <c r="H20" i="2"/>
  <c r="H21" i="2"/>
  <c r="H22" i="2"/>
  <c r="H25" i="2"/>
  <c r="H4" i="2"/>
  <c r="H43" i="2" l="1"/>
  <c r="D142" i="1" s="1"/>
  <c r="E172" i="1"/>
  <c r="F172" i="1"/>
  <c r="D142" i="17" l="1"/>
  <c r="D145" i="17" s="1"/>
  <c r="D142" i="19"/>
  <c r="D145" i="19" s="1"/>
  <c r="D145" i="1"/>
  <c r="G153" i="17" l="1"/>
  <c r="G154" i="17" s="1"/>
  <c r="G156" i="17" s="1"/>
  <c r="D173" i="17"/>
  <c r="D174" i="17" s="1"/>
  <c r="I153" i="17"/>
  <c r="I154" i="17" s="1"/>
  <c r="I156" i="17" s="1"/>
  <c r="F173" i="17"/>
  <c r="F174" i="17" s="1"/>
  <c r="E173" i="17"/>
  <c r="E174" i="17" s="1"/>
  <c r="E153" i="17"/>
  <c r="E154" i="17" s="1"/>
  <c r="E156" i="17" s="1"/>
  <c r="E173" i="19"/>
  <c r="E174" i="19" s="1"/>
  <c r="E153" i="19"/>
  <c r="E154" i="19" s="1"/>
  <c r="E156" i="19" s="1"/>
  <c r="F173" i="19"/>
  <c r="F174" i="19" s="1"/>
  <c r="G153" i="19"/>
  <c r="G154" i="19" s="1"/>
  <c r="G156" i="19" s="1"/>
  <c r="I153" i="19"/>
  <c r="I154" i="19" s="1"/>
  <c r="I156" i="19" s="1"/>
  <c r="D173" i="19"/>
  <c r="D174" i="19" s="1"/>
  <c r="D173" i="1"/>
  <c r="D174" i="1" s="1"/>
  <c r="I153" i="1"/>
  <c r="I154" i="1" s="1"/>
  <c r="G153" i="1"/>
  <c r="G154" i="1" s="1"/>
  <c r="G156" i="1" s="1"/>
  <c r="G162" i="1" s="1"/>
  <c r="G161" i="1" s="1"/>
  <c r="E173" i="1"/>
  <c r="E174" i="1" s="1"/>
  <c r="E153" i="1"/>
  <c r="E154" i="1" s="1"/>
  <c r="E156" i="1" s="1"/>
  <c r="E162" i="1" s="1"/>
  <c r="E161" i="1" s="1"/>
  <c r="F173" i="1"/>
  <c r="F174" i="1" s="1"/>
  <c r="E162" i="17" l="1"/>
  <c r="E161" i="17" s="1"/>
  <c r="E158" i="17"/>
  <c r="E159" i="17"/>
  <c r="E159" i="19"/>
  <c r="E158" i="19"/>
  <c r="E162" i="19"/>
  <c r="E161" i="19" s="1"/>
  <c r="G162" i="17"/>
  <c r="G161" i="17" s="1"/>
  <c r="G158" i="17"/>
  <c r="G159" i="17"/>
  <c r="G159" i="19"/>
  <c r="G158" i="19"/>
  <c r="G162" i="19"/>
  <c r="G161" i="19" s="1"/>
  <c r="I159" i="17"/>
  <c r="I158" i="17"/>
  <c r="I162" i="17"/>
  <c r="I161" i="17" s="1"/>
  <c r="I158" i="19"/>
  <c r="I159" i="19"/>
  <c r="I162" i="19"/>
  <c r="I161" i="19" s="1"/>
  <c r="I156" i="1"/>
  <c r="I162" i="1" s="1"/>
  <c r="I161" i="1" s="1"/>
  <c r="E158" i="1"/>
  <c r="E159" i="1"/>
  <c r="G159" i="1"/>
  <c r="G158" i="1"/>
  <c r="E157" i="19" l="1"/>
  <c r="E155" i="19" s="1"/>
  <c r="E163" i="19" s="1"/>
  <c r="D175" i="19" s="1"/>
  <c r="D176" i="19" s="1"/>
  <c r="E157" i="17"/>
  <c r="E155" i="17" s="1"/>
  <c r="E163" i="17" s="1"/>
  <c r="D175" i="17" s="1"/>
  <c r="D176" i="17" s="1"/>
  <c r="F9" i="20" s="1"/>
  <c r="I157" i="17"/>
  <c r="I155" i="17" s="1"/>
  <c r="I163" i="17" s="1"/>
  <c r="F175" i="17" s="1"/>
  <c r="F176" i="17" s="1"/>
  <c r="J9" i="20" s="1"/>
  <c r="G157" i="19"/>
  <c r="G155" i="19" s="1"/>
  <c r="G163" i="19" s="1"/>
  <c r="E175" i="19" s="1"/>
  <c r="E176" i="19" s="1"/>
  <c r="H13" i="20" s="1"/>
  <c r="I157" i="19"/>
  <c r="I155" i="19" s="1"/>
  <c r="I163" i="19" s="1"/>
  <c r="F175" i="19" s="1"/>
  <c r="F176" i="19" s="1"/>
  <c r="J13" i="20" s="1"/>
  <c r="G157" i="17"/>
  <c r="G155" i="17" s="1"/>
  <c r="G163" i="17" s="1"/>
  <c r="E175" i="17" s="1"/>
  <c r="E176" i="17" s="1"/>
  <c r="H9" i="20" s="1"/>
  <c r="I158" i="1"/>
  <c r="I159" i="1"/>
  <c r="E157" i="1"/>
  <c r="E155" i="1" s="1"/>
  <c r="E163" i="1" s="1"/>
  <c r="D175" i="1" s="1"/>
  <c r="D176" i="1" s="1"/>
  <c r="G157" i="1"/>
  <c r="G155" i="1" s="1"/>
  <c r="G163" i="1" s="1"/>
  <c r="E175" i="1" s="1"/>
  <c r="E176" i="1" s="1"/>
  <c r="C191" i="19" l="1"/>
  <c r="D191" i="19" s="1"/>
  <c r="D192" i="19" s="1"/>
  <c r="F252" i="19" s="1"/>
  <c r="G252" i="19" s="1"/>
  <c r="F13" i="20"/>
  <c r="H5" i="20"/>
  <c r="H233" i="1"/>
  <c r="I233" i="1" s="1"/>
  <c r="I234" i="1" s="1"/>
  <c r="H259" i="1" s="1"/>
  <c r="F233" i="1"/>
  <c r="G233" i="1" s="1"/>
  <c r="G234" i="1" s="1"/>
  <c r="F259" i="1" s="1"/>
  <c r="F5" i="20"/>
  <c r="F239" i="19"/>
  <c r="G239" i="19" s="1"/>
  <c r="G240" i="19" s="1"/>
  <c r="F260" i="19" s="1"/>
  <c r="G260" i="19" s="1"/>
  <c r="C203" i="19"/>
  <c r="D203" i="19" s="1"/>
  <c r="D204" i="19" s="1"/>
  <c r="F254" i="19" s="1"/>
  <c r="G254" i="19" s="1"/>
  <c r="C185" i="19"/>
  <c r="D185" i="19" s="1"/>
  <c r="D186" i="19" s="1"/>
  <c r="F251" i="19" s="1"/>
  <c r="G251" i="19" s="1"/>
  <c r="C227" i="19"/>
  <c r="D227" i="19" s="1"/>
  <c r="D228" i="19" s="1"/>
  <c r="F258" i="19" s="1"/>
  <c r="G258" i="19" s="1"/>
  <c r="C221" i="19"/>
  <c r="D221" i="19" s="1"/>
  <c r="D222" i="19" s="1"/>
  <c r="F257" i="19" s="1"/>
  <c r="G257" i="19" s="1"/>
  <c r="F233" i="19"/>
  <c r="G233" i="19" s="1"/>
  <c r="G234" i="19" s="1"/>
  <c r="F259" i="19" s="1"/>
  <c r="G259" i="19" s="1"/>
  <c r="C197" i="19"/>
  <c r="D197" i="19" s="1"/>
  <c r="D198" i="19" s="1"/>
  <c r="F253" i="19" s="1"/>
  <c r="G253" i="19" s="1"/>
  <c r="C215" i="19"/>
  <c r="D215" i="19" s="1"/>
  <c r="D216" i="19" s="1"/>
  <c r="F256" i="19" s="1"/>
  <c r="G256" i="19" s="1"/>
  <c r="F245" i="19"/>
  <c r="G245" i="19" s="1"/>
  <c r="G246" i="19" s="1"/>
  <c r="F261" i="19" s="1"/>
  <c r="G261" i="19" s="1"/>
  <c r="D177" i="19"/>
  <c r="D178" i="19" s="1"/>
  <c r="C209" i="19"/>
  <c r="D209" i="19" s="1"/>
  <c r="D210" i="19" s="1"/>
  <c r="F255" i="19" s="1"/>
  <c r="G255" i="19" s="1"/>
  <c r="E209" i="19"/>
  <c r="F209" i="19" s="1"/>
  <c r="F210" i="19" s="1"/>
  <c r="H255" i="19" s="1"/>
  <c r="I255" i="19" s="1"/>
  <c r="E177" i="19"/>
  <c r="E178" i="19" s="1"/>
  <c r="E227" i="19"/>
  <c r="F227" i="19" s="1"/>
  <c r="F228" i="19" s="1"/>
  <c r="H258" i="19" s="1"/>
  <c r="I258" i="19" s="1"/>
  <c r="H233" i="19"/>
  <c r="I233" i="19" s="1"/>
  <c r="I234" i="19" s="1"/>
  <c r="H259" i="19" s="1"/>
  <c r="I259" i="19" s="1"/>
  <c r="E191" i="19"/>
  <c r="F191" i="19" s="1"/>
  <c r="F192" i="19" s="1"/>
  <c r="H252" i="19" s="1"/>
  <c r="I252" i="19" s="1"/>
  <c r="E197" i="19"/>
  <c r="F197" i="19" s="1"/>
  <c r="F198" i="19" s="1"/>
  <c r="H253" i="19" s="1"/>
  <c r="I253" i="19" s="1"/>
  <c r="E185" i="19"/>
  <c r="F185" i="19" s="1"/>
  <c r="F186" i="19" s="1"/>
  <c r="H251" i="19" s="1"/>
  <c r="I251" i="19" s="1"/>
  <c r="E203" i="19"/>
  <c r="F203" i="19" s="1"/>
  <c r="F204" i="19" s="1"/>
  <c r="H254" i="19" s="1"/>
  <c r="I254" i="19" s="1"/>
  <c r="H239" i="19"/>
  <c r="I239" i="19" s="1"/>
  <c r="I240" i="19" s="1"/>
  <c r="H260" i="19" s="1"/>
  <c r="I260" i="19" s="1"/>
  <c r="H245" i="19"/>
  <c r="I245" i="19" s="1"/>
  <c r="I246" i="19" s="1"/>
  <c r="H261" i="19" s="1"/>
  <c r="I261" i="19" s="1"/>
  <c r="E221" i="19"/>
  <c r="F221" i="19" s="1"/>
  <c r="F222" i="19" s="1"/>
  <c r="H257" i="19" s="1"/>
  <c r="I257" i="19" s="1"/>
  <c r="E215" i="19"/>
  <c r="F215" i="19" s="1"/>
  <c r="F216" i="19" s="1"/>
  <c r="H256" i="19" s="1"/>
  <c r="I256" i="19" s="1"/>
  <c r="E203" i="17"/>
  <c r="F203" i="17" s="1"/>
  <c r="F204" i="17" s="1"/>
  <c r="H254" i="17" s="1"/>
  <c r="I254" i="17" s="1"/>
  <c r="E215" i="17"/>
  <c r="F215" i="17" s="1"/>
  <c r="F216" i="17" s="1"/>
  <c r="H256" i="17" s="1"/>
  <c r="I256" i="17" s="1"/>
  <c r="E209" i="17"/>
  <c r="F209" i="17" s="1"/>
  <c r="F210" i="17" s="1"/>
  <c r="H255" i="17" s="1"/>
  <c r="I255" i="17" s="1"/>
  <c r="H239" i="17"/>
  <c r="I239" i="17" s="1"/>
  <c r="I240" i="17" s="1"/>
  <c r="H260" i="17" s="1"/>
  <c r="I260" i="17" s="1"/>
  <c r="E197" i="17"/>
  <c r="F197" i="17" s="1"/>
  <c r="F198" i="17" s="1"/>
  <c r="H253" i="17" s="1"/>
  <c r="I253" i="17" s="1"/>
  <c r="E177" i="17"/>
  <c r="E178" i="17" s="1"/>
  <c r="E185" i="17"/>
  <c r="F185" i="17" s="1"/>
  <c r="F186" i="17" s="1"/>
  <c r="H251" i="17" s="1"/>
  <c r="I251" i="17" s="1"/>
  <c r="H233" i="17"/>
  <c r="I233" i="17" s="1"/>
  <c r="I234" i="17" s="1"/>
  <c r="H259" i="17" s="1"/>
  <c r="I259" i="17" s="1"/>
  <c r="E221" i="17"/>
  <c r="F221" i="17" s="1"/>
  <c r="F222" i="17" s="1"/>
  <c r="H257" i="17" s="1"/>
  <c r="I257" i="17" s="1"/>
  <c r="H245" i="17"/>
  <c r="I245" i="17" s="1"/>
  <c r="I246" i="17" s="1"/>
  <c r="H261" i="17" s="1"/>
  <c r="I261" i="17" s="1"/>
  <c r="E191" i="17"/>
  <c r="F191" i="17" s="1"/>
  <c r="F192" i="17" s="1"/>
  <c r="H252" i="17" s="1"/>
  <c r="I252" i="17" s="1"/>
  <c r="E227" i="17"/>
  <c r="F227" i="17" s="1"/>
  <c r="F228" i="17" s="1"/>
  <c r="H258" i="17" s="1"/>
  <c r="I258" i="17" s="1"/>
  <c r="J245" i="17"/>
  <c r="K245" i="17" s="1"/>
  <c r="K246" i="17" s="1"/>
  <c r="J261" i="17" s="1"/>
  <c r="K261" i="17" s="1"/>
  <c r="F177" i="17"/>
  <c r="F178" i="17" s="1"/>
  <c r="G227" i="17"/>
  <c r="H227" i="17" s="1"/>
  <c r="H228" i="17" s="1"/>
  <c r="J258" i="17" s="1"/>
  <c r="K258" i="17" s="1"/>
  <c r="G215" i="17"/>
  <c r="H215" i="17" s="1"/>
  <c r="H216" i="17" s="1"/>
  <c r="J256" i="17" s="1"/>
  <c r="K256" i="17" s="1"/>
  <c r="G191" i="17"/>
  <c r="H191" i="17" s="1"/>
  <c r="H192" i="17" s="1"/>
  <c r="J252" i="17" s="1"/>
  <c r="K252" i="17" s="1"/>
  <c r="G203" i="17"/>
  <c r="H203" i="17" s="1"/>
  <c r="H204" i="17" s="1"/>
  <c r="J254" i="17" s="1"/>
  <c r="K254" i="17" s="1"/>
  <c r="G197" i="17"/>
  <c r="H197" i="17" s="1"/>
  <c r="H198" i="17" s="1"/>
  <c r="J253" i="17" s="1"/>
  <c r="K253" i="17" s="1"/>
  <c r="J233" i="17"/>
  <c r="K233" i="17" s="1"/>
  <c r="K234" i="17" s="1"/>
  <c r="J259" i="17" s="1"/>
  <c r="K259" i="17" s="1"/>
  <c r="G209" i="17"/>
  <c r="H209" i="17" s="1"/>
  <c r="H210" i="17" s="1"/>
  <c r="J255" i="17" s="1"/>
  <c r="K255" i="17" s="1"/>
  <c r="G185" i="17"/>
  <c r="H185" i="17" s="1"/>
  <c r="H186" i="17" s="1"/>
  <c r="J251" i="17" s="1"/>
  <c r="K251" i="17" s="1"/>
  <c r="G221" i="17"/>
  <c r="H221" i="17" s="1"/>
  <c r="H222" i="17" s="1"/>
  <c r="J257" i="17" s="1"/>
  <c r="K257" i="17" s="1"/>
  <c r="J239" i="17"/>
  <c r="K239" i="17" s="1"/>
  <c r="K240" i="17" s="1"/>
  <c r="J260" i="17" s="1"/>
  <c r="K260" i="17" s="1"/>
  <c r="C191" i="17"/>
  <c r="D191" i="17" s="1"/>
  <c r="D192" i="17" s="1"/>
  <c r="F252" i="17" s="1"/>
  <c r="G252" i="17" s="1"/>
  <c r="C197" i="17"/>
  <c r="D197" i="17" s="1"/>
  <c r="D198" i="17" s="1"/>
  <c r="F253" i="17" s="1"/>
  <c r="G253" i="17" s="1"/>
  <c r="F239" i="17"/>
  <c r="G239" i="17" s="1"/>
  <c r="G240" i="17" s="1"/>
  <c r="F260" i="17" s="1"/>
  <c r="G260" i="17" s="1"/>
  <c r="C227" i="17"/>
  <c r="D227" i="17" s="1"/>
  <c r="D228" i="17" s="1"/>
  <c r="F258" i="17" s="1"/>
  <c r="G258" i="17" s="1"/>
  <c r="C209" i="17"/>
  <c r="D209" i="17" s="1"/>
  <c r="D210" i="17" s="1"/>
  <c r="F255" i="17" s="1"/>
  <c r="G255" i="17" s="1"/>
  <c r="C215" i="17"/>
  <c r="D215" i="17" s="1"/>
  <c r="D216" i="17" s="1"/>
  <c r="F256" i="17" s="1"/>
  <c r="G256" i="17" s="1"/>
  <c r="F245" i="17"/>
  <c r="G245" i="17" s="1"/>
  <c r="G246" i="17" s="1"/>
  <c r="F261" i="17" s="1"/>
  <c r="G261" i="17" s="1"/>
  <c r="C221" i="17"/>
  <c r="D221" i="17" s="1"/>
  <c r="D222" i="17" s="1"/>
  <c r="F257" i="17" s="1"/>
  <c r="G257" i="17" s="1"/>
  <c r="F233" i="17"/>
  <c r="G233" i="17" s="1"/>
  <c r="G234" i="17" s="1"/>
  <c r="F259" i="17" s="1"/>
  <c r="G259" i="17" s="1"/>
  <c r="C185" i="17"/>
  <c r="D185" i="17" s="1"/>
  <c r="D186" i="17" s="1"/>
  <c r="F251" i="17" s="1"/>
  <c r="G251" i="17" s="1"/>
  <c r="C203" i="17"/>
  <c r="D203" i="17" s="1"/>
  <c r="D204" i="17" s="1"/>
  <c r="F254" i="17" s="1"/>
  <c r="G254" i="17" s="1"/>
  <c r="D177" i="17"/>
  <c r="D178" i="17" s="1"/>
  <c r="G191" i="19"/>
  <c r="H191" i="19" s="1"/>
  <c r="H192" i="19" s="1"/>
  <c r="J252" i="19" s="1"/>
  <c r="K252" i="19" s="1"/>
  <c r="G209" i="19"/>
  <c r="H209" i="19" s="1"/>
  <c r="H210" i="19" s="1"/>
  <c r="J255" i="19" s="1"/>
  <c r="K255" i="19" s="1"/>
  <c r="G215" i="19"/>
  <c r="H215" i="19" s="1"/>
  <c r="H216" i="19" s="1"/>
  <c r="J256" i="19" s="1"/>
  <c r="K256" i="19" s="1"/>
  <c r="G227" i="19"/>
  <c r="H227" i="19" s="1"/>
  <c r="H228" i="19" s="1"/>
  <c r="J258" i="19" s="1"/>
  <c r="K258" i="19" s="1"/>
  <c r="J233" i="19"/>
  <c r="K233" i="19" s="1"/>
  <c r="K234" i="19" s="1"/>
  <c r="J259" i="19" s="1"/>
  <c r="K259" i="19" s="1"/>
  <c r="F177" i="19"/>
  <c r="F178" i="19" s="1"/>
  <c r="G197" i="19"/>
  <c r="H197" i="19" s="1"/>
  <c r="H198" i="19" s="1"/>
  <c r="J253" i="19" s="1"/>
  <c r="K253" i="19" s="1"/>
  <c r="G203" i="19"/>
  <c r="H203" i="19" s="1"/>
  <c r="H204" i="19" s="1"/>
  <c r="J254" i="19" s="1"/>
  <c r="K254" i="19" s="1"/>
  <c r="J245" i="19"/>
  <c r="K245" i="19" s="1"/>
  <c r="K246" i="19" s="1"/>
  <c r="J261" i="19" s="1"/>
  <c r="K261" i="19" s="1"/>
  <c r="G185" i="19"/>
  <c r="H185" i="19" s="1"/>
  <c r="H186" i="19" s="1"/>
  <c r="J251" i="19" s="1"/>
  <c r="K251" i="19" s="1"/>
  <c r="G221" i="19"/>
  <c r="H221" i="19" s="1"/>
  <c r="H222" i="19" s="1"/>
  <c r="J257" i="19" s="1"/>
  <c r="J239" i="19"/>
  <c r="K239" i="19" s="1"/>
  <c r="K240" i="19" s="1"/>
  <c r="J260" i="19" s="1"/>
  <c r="K260" i="19" s="1"/>
  <c r="H239" i="1"/>
  <c r="F239" i="1"/>
  <c r="G239" i="1" s="1"/>
  <c r="G240" i="1" s="1"/>
  <c r="C215" i="1"/>
  <c r="D215" i="1" s="1"/>
  <c r="D216" i="1" s="1"/>
  <c r="F256" i="1" s="1"/>
  <c r="G256" i="1" s="1"/>
  <c r="C221" i="1"/>
  <c r="D221" i="1" s="1"/>
  <c r="D222" i="1" s="1"/>
  <c r="F257" i="1" s="1"/>
  <c r="G257" i="1" s="1"/>
  <c r="C227" i="1"/>
  <c r="D227" i="1" s="1"/>
  <c r="D228" i="1" s="1"/>
  <c r="E221" i="1"/>
  <c r="F221" i="1" s="1"/>
  <c r="F222" i="1" s="1"/>
  <c r="H257" i="1" s="1"/>
  <c r="I257" i="1" s="1"/>
  <c r="E227" i="1"/>
  <c r="F227" i="1" s="1"/>
  <c r="F228" i="1" s="1"/>
  <c r="H258" i="1" s="1"/>
  <c r="I258" i="1" s="1"/>
  <c r="E215" i="1"/>
  <c r="F215" i="1" s="1"/>
  <c r="F216" i="1" s="1"/>
  <c r="H256" i="1" s="1"/>
  <c r="I256" i="1" s="1"/>
  <c r="E191" i="1"/>
  <c r="F191" i="1" s="1"/>
  <c r="F192" i="1" s="1"/>
  <c r="H252" i="1" s="1"/>
  <c r="I252" i="1" s="1"/>
  <c r="E209" i="1"/>
  <c r="F209" i="1" s="1"/>
  <c r="F210" i="1" s="1"/>
  <c r="C203" i="1"/>
  <c r="D203" i="1" s="1"/>
  <c r="D204" i="1" s="1"/>
  <c r="C209" i="1"/>
  <c r="D209" i="1" s="1"/>
  <c r="D210" i="1" s="1"/>
  <c r="I157" i="1"/>
  <c r="I155" i="1" s="1"/>
  <c r="I163" i="1" s="1"/>
  <c r="F175" i="1" s="1"/>
  <c r="F176" i="1" s="1"/>
  <c r="F245" i="1"/>
  <c r="G245" i="1" s="1"/>
  <c r="G246" i="1" s="1"/>
  <c r="C191" i="1"/>
  <c r="D191" i="1" s="1"/>
  <c r="D192" i="1" s="1"/>
  <c r="F252" i="1" s="1"/>
  <c r="G252" i="1" s="1"/>
  <c r="C197" i="1"/>
  <c r="D197" i="1" s="1"/>
  <c r="D198" i="1" s="1"/>
  <c r="F253" i="1" s="1"/>
  <c r="G253" i="1" s="1"/>
  <c r="E177" i="1"/>
  <c r="E178" i="1" s="1"/>
  <c r="H245" i="1"/>
  <c r="I245" i="1" s="1"/>
  <c r="I246" i="1" s="1"/>
  <c r="H261" i="1" s="1"/>
  <c r="I261" i="1" s="1"/>
  <c r="C185" i="1"/>
  <c r="D185" i="1" s="1"/>
  <c r="D186" i="1" s="1"/>
  <c r="F251" i="1" s="1"/>
  <c r="G251" i="1" s="1"/>
  <c r="E203" i="1"/>
  <c r="F203" i="1" s="1"/>
  <c r="F204" i="1" s="1"/>
  <c r="H254" i="1" s="1"/>
  <c r="I254" i="1" s="1"/>
  <c r="E197" i="1"/>
  <c r="F197" i="1" s="1"/>
  <c r="F198" i="1" s="1"/>
  <c r="H253" i="1" s="1"/>
  <c r="I253" i="1" s="1"/>
  <c r="D177" i="1"/>
  <c r="D178" i="1" s="1"/>
  <c r="E185" i="1"/>
  <c r="F185" i="1" s="1"/>
  <c r="F186" i="1" s="1"/>
  <c r="H251" i="1" s="1"/>
  <c r="I251" i="1" s="1"/>
  <c r="J5" i="20" l="1"/>
  <c r="J233" i="1"/>
  <c r="K233" i="1" s="1"/>
  <c r="K234" i="1" s="1"/>
  <c r="J259" i="1" s="1"/>
  <c r="G262" i="19"/>
  <c r="F268" i="19" s="1"/>
  <c r="G262" i="17"/>
  <c r="F268" i="17" s="1"/>
  <c r="K262" i="17"/>
  <c r="J268" i="17" s="1"/>
  <c r="K257" i="19"/>
  <c r="K262" i="19" s="1"/>
  <c r="J268" i="19" s="1"/>
  <c r="J14" i="20" s="1"/>
  <c r="I262" i="17"/>
  <c r="H268" i="17" s="1"/>
  <c r="I262" i="19"/>
  <c r="H268" i="19" s="1"/>
  <c r="F261" i="1"/>
  <c r="G261" i="1" s="1"/>
  <c r="F260" i="1"/>
  <c r="G260" i="1" s="1"/>
  <c r="F258" i="1"/>
  <c r="G258" i="1" s="1"/>
  <c r="I239" i="1"/>
  <c r="I240" i="1" s="1"/>
  <c r="G259" i="1"/>
  <c r="J239" i="1"/>
  <c r="K239" i="1" s="1"/>
  <c r="K240" i="1" s="1"/>
  <c r="J260" i="1" s="1"/>
  <c r="K260" i="1" s="1"/>
  <c r="I259" i="1"/>
  <c r="F255" i="1"/>
  <c r="G255" i="1" s="1"/>
  <c r="F254" i="1"/>
  <c r="G254" i="1" s="1"/>
  <c r="H255" i="1"/>
  <c r="I255" i="1" s="1"/>
  <c r="G227" i="1"/>
  <c r="H227" i="1" s="1"/>
  <c r="H228" i="1" s="1"/>
  <c r="J258" i="1" s="1"/>
  <c r="K258" i="1" s="1"/>
  <c r="G215" i="1"/>
  <c r="H215" i="1" s="1"/>
  <c r="H216" i="1" s="1"/>
  <c r="J256" i="1" s="1"/>
  <c r="K256" i="1" s="1"/>
  <c r="G221" i="1"/>
  <c r="H221" i="1" s="1"/>
  <c r="H222" i="1" s="1"/>
  <c r="J257" i="1" s="1"/>
  <c r="K257" i="1" s="1"/>
  <c r="J245" i="1"/>
  <c r="K245" i="1" s="1"/>
  <c r="K246" i="1" s="1"/>
  <c r="J261" i="1" s="1"/>
  <c r="K261" i="1" s="1"/>
  <c r="G209" i="1"/>
  <c r="H209" i="1" s="1"/>
  <c r="H210" i="1" s="1"/>
  <c r="G191" i="1"/>
  <c r="H191" i="1" s="1"/>
  <c r="H192" i="1" s="1"/>
  <c r="J252" i="1" s="1"/>
  <c r="K252" i="1" s="1"/>
  <c r="G203" i="1"/>
  <c r="H203" i="1" s="1"/>
  <c r="H204" i="1" s="1"/>
  <c r="J254" i="1" s="1"/>
  <c r="K254" i="1" s="1"/>
  <c r="G197" i="1"/>
  <c r="H197" i="1" s="1"/>
  <c r="H198" i="1" s="1"/>
  <c r="J253" i="1" s="1"/>
  <c r="K253" i="1" s="1"/>
  <c r="G185" i="1"/>
  <c r="H185" i="1" s="1"/>
  <c r="H186" i="1" s="1"/>
  <c r="J251" i="1" s="1"/>
  <c r="K251" i="1" s="1"/>
  <c r="F177" i="1"/>
  <c r="F178" i="1" s="1"/>
  <c r="J16" i="20" l="1"/>
  <c r="J15" i="20"/>
  <c r="H269" i="17"/>
  <c r="H10" i="20"/>
  <c r="F269" i="17"/>
  <c r="F10" i="20"/>
  <c r="L271" i="17"/>
  <c r="J10" i="20"/>
  <c r="H269" i="19"/>
  <c r="H14" i="20"/>
  <c r="F269" i="19"/>
  <c r="F14" i="20"/>
  <c r="J269" i="17"/>
  <c r="J269" i="19"/>
  <c r="L271" i="19"/>
  <c r="G262" i="1"/>
  <c r="F268" i="1" s="1"/>
  <c r="H260" i="1"/>
  <c r="I260" i="1" s="1"/>
  <c r="I262" i="1" s="1"/>
  <c r="H268" i="1" s="1"/>
  <c r="K259" i="1"/>
  <c r="J255" i="1"/>
  <c r="K255" i="1" s="1"/>
  <c r="F16" i="20" l="1"/>
  <c r="F15" i="20"/>
  <c r="J12" i="20"/>
  <c r="J11" i="20"/>
  <c r="H12" i="20"/>
  <c r="H11" i="20"/>
  <c r="H16" i="20"/>
  <c r="H15" i="20"/>
  <c r="F12" i="20"/>
  <c r="F11" i="20"/>
  <c r="F269" i="1"/>
  <c r="F6" i="20"/>
  <c r="F19" i="20" s="1"/>
  <c r="H269" i="1"/>
  <c r="H6" i="20"/>
  <c r="H19" i="20" s="1"/>
  <c r="K262" i="1"/>
  <c r="J268" i="1" s="1"/>
  <c r="J6" i="20" s="1"/>
  <c r="J19" i="20" s="1"/>
  <c r="F8" i="20" l="1"/>
  <c r="F17" i="20" s="1"/>
  <c r="F18" i="20" s="1"/>
  <c r="F7" i="20"/>
  <c r="F20" i="20" s="1"/>
  <c r="J8" i="20"/>
  <c r="J17" i="20" s="1"/>
  <c r="J18" i="20" s="1"/>
  <c r="J7" i="20"/>
  <c r="J20" i="20" s="1"/>
  <c r="H8" i="20"/>
  <c r="H17" i="20" s="1"/>
  <c r="H18" i="20" s="1"/>
  <c r="H7" i="20"/>
  <c r="H20" i="20" s="1"/>
  <c r="L271" i="1"/>
  <c r="J269" i="1"/>
</calcChain>
</file>

<file path=xl/sharedStrings.xml><?xml version="1.0" encoding="utf-8"?>
<sst xmlns="http://schemas.openxmlformats.org/spreadsheetml/2006/main" count="1898" uniqueCount="420">
  <si>
    <t>MODELO DE PLANILHA DE CUSTOS E FORMAÇÃO DE PREÇOS</t>
  </si>
  <si>
    <r>
      <t>N</t>
    </r>
    <r>
      <rPr>
        <strike/>
        <sz val="10"/>
        <color theme="1"/>
        <rFont val="Arial"/>
        <family val="2"/>
      </rPr>
      <t>º</t>
    </r>
    <r>
      <rPr>
        <sz val="10"/>
        <color theme="1"/>
        <rFont val="Arial"/>
        <family val="2"/>
      </rPr>
      <t xml:space="preserve"> do Processo:</t>
    </r>
  </si>
  <si>
    <r>
      <t>Licitação n</t>
    </r>
    <r>
      <rPr>
        <strike/>
        <sz val="10"/>
        <color theme="1"/>
        <rFont val="Arial"/>
        <family val="2"/>
      </rPr>
      <t>º</t>
    </r>
    <r>
      <rPr>
        <sz val="10"/>
        <color theme="1"/>
        <rFont val="Arial"/>
        <family val="2"/>
      </rPr>
      <t>:</t>
    </r>
  </si>
  <si>
    <t>DISCRIMINAÇÃO DOS SERVIÇOS (DADOS REFERENTES À CONTRATAÇÃO)</t>
  </si>
  <si>
    <t>A</t>
  </si>
  <si>
    <t>Data de apresentação da proposta (dia/mês/ano):</t>
  </si>
  <si>
    <t>B</t>
  </si>
  <si>
    <t>Município/UF:</t>
  </si>
  <si>
    <t>C</t>
  </si>
  <si>
    <t>Ano do Acordo, Convenção ou Dissídio Coletivo:</t>
  </si>
  <si>
    <t>D</t>
  </si>
  <si>
    <t>Número de meses de execução contratual:</t>
  </si>
  <si>
    <t>IDENTIFICAÇÃO DO SERVIÇO</t>
  </si>
  <si>
    <t>Tipo de Serviço</t>
  </si>
  <si>
    <t>Unidade de Medida</t>
  </si>
  <si>
    <t>Limpeza, asseio e conservação</t>
  </si>
  <si>
    <r>
      <t>m</t>
    </r>
    <r>
      <rPr>
        <vertAlign val="superscript"/>
        <sz val="10"/>
        <color theme="1"/>
        <rFont val="Arial"/>
        <family val="2"/>
      </rPr>
      <t>2</t>
    </r>
  </si>
  <si>
    <t>ANEXO VI-A (MÃO-DE-OBRA)</t>
  </si>
  <si>
    <t>Mão de obra vinculada à execução contratual</t>
  </si>
  <si>
    <t>Dados para composição dos custos referentes à mão-de-obra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</si>
  <si>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</si>
  <si>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</si>
  <si>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</si>
  <si>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</si>
  <si>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</si>
  <si>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Quantidade total a contratar 
(Em função da unidade de medida)</t>
  </si>
  <si>
    <t>Hora:</t>
  </si>
  <si>
    <t>MÓDULO 1 – COMPOSIÇÃO DA REMUNERAÇÃO</t>
  </si>
  <si>
    <t>Composição da Remuneração</t>
  </si>
  <si>
    <t>Valor (R$)</t>
  </si>
  <si>
    <t>Salário-Base</t>
  </si>
  <si>
    <t>Adicional de periculosidade</t>
  </si>
  <si>
    <t>Adicional de insalubridade</t>
  </si>
  <si>
    <t>Adicional noturno</t>
  </si>
  <si>
    <t>E</t>
  </si>
  <si>
    <t>Adicional de hora noturna reduzida</t>
  </si>
  <si>
    <t>F</t>
  </si>
  <si>
    <t>Adicional de hora extra no feriado trabalhado</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</si>
  <si>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</si>
  <si>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</si>
  <si>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</si>
  <si>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</si>
  <si>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</si>
  <si>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</si>
  <si>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</si>
  <si>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</si>
  <si>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</si>
  <si>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</si>
  <si>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</si>
  <si>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</si>
  <si>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</si>
  <si>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</si>
  <si>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</si>
  <si>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</si>
  <si>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</si>
  <si>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</si>
  <si>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SEBRAE</t>
  </si>
  <si>
    <t>INCRA</t>
  </si>
  <si>
    <t>H</t>
  </si>
  <si>
    <t>FGTS</t>
  </si>
  <si>
    <t xml:space="preserve">Total </t>
  </si>
  <si>
    <t>Submódulo 2.3 – Benefícios Mensais e Diários</t>
  </si>
  <si>
    <t>2.3</t>
  </si>
  <si>
    <t>Benefícios Mensais e Diários</t>
  </si>
  <si>
    <t>Transporte</t>
  </si>
  <si>
    <t>Auxílio-Refeição/Alimentação</t>
  </si>
  <si>
    <t>Assistência Médica e Familiar</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</si>
  <si>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</si>
  <si>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</si>
  <si>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</si>
  <si>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</si>
  <si>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</si>
  <si>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</si>
  <si>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</si>
  <si>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</si>
  <si>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</si>
  <si>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</si>
  <si>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</si>
  <si>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</si>
  <si>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</si>
  <si>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</si>
  <si>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Férias</t>
  </si>
  <si>
    <t>Licença-Paternidade</t>
  </si>
  <si>
    <t>Ausência por acidente de trabalho</t>
  </si>
  <si>
    <t>Afastamento Maternidade</t>
  </si>
  <si>
    <t>Submódulo 4.2 – Intrajornada</t>
  </si>
  <si>
    <t>4.2</t>
  </si>
  <si>
    <t>Intrajornada</t>
  </si>
  <si>
    <t>Intervalo para repouso ou alimentação</t>
  </si>
  <si>
    <t>Quadro-Resumo do Módulo 4 – Custo de Reposição do Profissional Ausente</t>
  </si>
  <si>
    <t>Custo de Reposição do Profissional Ausente</t>
  </si>
  <si>
    <t>MÓDULO 5 – INSUMOS DIVERSOS</t>
  </si>
  <si>
    <t>Insumos Diversos</t>
  </si>
  <si>
    <t>MÓDULO 6 – CUSTOS INDIRETOS, TRIBUTOS E LUCRO</t>
  </si>
  <si>
    <t>Custos Indiretos, Tributos e Lucro</t>
  </si>
  <si>
    <t>Custos Indiretos</t>
  </si>
  <si>
    <t>Lucro</t>
  </si>
  <si>
    <t>Tributos</t>
  </si>
  <si>
    <t>C.2. Tributos Estaduais (especificar)</t>
  </si>
  <si>
    <t>ANEXO VI-B (QUADRO-RESUMO DO CUSTO POR EMPREGADO)</t>
  </si>
  <si>
    <t>Mão de 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</si>
  <si>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</si>
  <si>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</si>
  <si>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</si>
  <si>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</si>
  <si>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</si>
  <si>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 C + D + E)</t>
  </si>
  <si>
    <t>Módulo 6 – Custos Indiretos, Tributos e Lucro</t>
  </si>
  <si>
    <t>Valor total por empregado</t>
  </si>
  <si>
    <t>ANEXO VI-C (COMPLEMENTO DOS SERVIÇOS DE LIMPEZA E CONSERVAÇÃO)</t>
  </si>
  <si>
    <t>PREÇO MENSAL UNITÁRIO POR M² (METRO QUADRADO)</t>
  </si>
  <si>
    <t>MÃO DE OBRA</t>
  </si>
  <si>
    <t>SERVENTE</t>
  </si>
  <si>
    <t>TOTAL</t>
  </si>
  <si>
    <t>VALOR MENSAL DOS SERVIÇOS</t>
  </si>
  <si>
    <t>TIPO DE ÁREA</t>
  </si>
  <si>
    <t>TOTAL MENSAL</t>
  </si>
  <si>
    <t>ANEXO VI-D (QUADRO DEMONSTRATIVO DO VALOR GLOBAL DA PROPOSTA)</t>
  </si>
  <si>
    <t>Valor Global da Proposta</t>
  </si>
  <si>
    <t>Descrição</t>
  </si>
  <si>
    <t>Valor mensal do serviço</t>
  </si>
  <si>
    <t xml:space="preserve">          </t>
  </si>
  <si>
    <t>ITEM</t>
  </si>
  <si>
    <t>ESPECIFICAÇÃO</t>
  </si>
  <si>
    <t>UNIDADE DE FORNECIMENTO</t>
  </si>
  <si>
    <t>Bombona com 5 litros</t>
  </si>
  <si>
    <t>Unidade</t>
  </si>
  <si>
    <t>-</t>
  </si>
  <si>
    <t>Pacote com 8 unidades</t>
  </si>
  <si>
    <t>Frasco com 500 ml</t>
  </si>
  <si>
    <t>Pacote com 5 unidades</t>
  </si>
  <si>
    <t>Fardo com 1000 folhas</t>
  </si>
  <si>
    <t>Pacote com 1 kg</t>
  </si>
  <si>
    <t>Pacote com 100 unidades</t>
  </si>
  <si>
    <t xml:space="preserve">RELAÇÃO DE MATERIAIS E PRODUTOS DE LIMPEZA </t>
  </si>
  <si>
    <t>VALOR UNITÁRIO</t>
  </si>
  <si>
    <t>RATEIO MENSAL</t>
  </si>
  <si>
    <t>(2)
FREQUÊNCIA NO MÊS (HORAS)</t>
  </si>
  <si>
    <t>(1)
PRODUTIVIDADE
(1/M²)</t>
  </si>
  <si>
    <t>(3)
JORNADA DE TRABALHO NO MÊS (HORAS)</t>
  </si>
  <si>
    <t>(4)
=(1x2x3)
Ki</t>
  </si>
  <si>
    <t>(4x5)
SUB-TOTAL
(R$/M²)</t>
  </si>
  <si>
    <t>PREÇO MENSAL UNITÁRIO
(R$/ M²)</t>
  </si>
  <si>
    <t>ÁREA
(M²)</t>
  </si>
  <si>
    <t>SUBTOTAL
(R$)</t>
  </si>
  <si>
    <t>ANEXO III</t>
  </si>
  <si>
    <t xml:space="preserve">RELAÇÃO DE EQUIPAMENTOS E UTENSÍLIOS DE LIMPEZA </t>
  </si>
  <si>
    <t>ESPECIFICAÇÃO/DESCRIÇÃO TÉCNICA</t>
  </si>
  <si>
    <t>DESCRIÇÃO</t>
  </si>
  <si>
    <t>UNIDADE</t>
  </si>
  <si>
    <t>Par</t>
  </si>
  <si>
    <t>Valor global da proposta
(valor mensal do serviço multiplicado pelo número de meses do contrato).</t>
  </si>
  <si>
    <t>VALOR 
UNITÁRIO</t>
  </si>
  <si>
    <t>RATEIO 
MENSAL</t>
  </si>
  <si>
    <t>(1x2)
SUBTOTAL
(R$/M²)</t>
  </si>
  <si>
    <t>Dia:</t>
  </si>
  <si>
    <t>Dados</t>
  </si>
  <si>
    <t>Lucro Real e Presumido
Valor (R$)</t>
  </si>
  <si>
    <t>Simples Nacional
Valor (R$)</t>
  </si>
  <si>
    <t>Lucro Real, Presumido e Simples Nacional
Valor (R$)</t>
  </si>
  <si>
    <t>Aviso-prévio indenizado x Porcentagem de recolhimento mensal do FGTS</t>
  </si>
  <si>
    <t>% de incidência do submódulo 2.2</t>
  </si>
  <si>
    <t>FGTS 40%</t>
  </si>
  <si>
    <t>Contribuição social 10%</t>
  </si>
  <si>
    <t>{[(Total da remuneração + 13º salário + Férias e terço constitucional de férias) x Multa sobre o FGTS] x Alíquota de recolhimento mensal do FGTS} x Porcentagem de dispensa sem justa causa com aviso-prévio trabalhado</t>
  </si>
  <si>
    <t>{[(Total da remuneração ÷ Mês) ÷ Meses do ano] x Média de dias pagos pela empresa} x Porcentagem de incidência de ocorrência de acidentes - Estimativa deve ser baseado no histórico dos contratos, utilizamos 15 dias e 8% de incidência de ocorrência.</t>
  </si>
  <si>
    <t>Incidência dos Encargos do Submódulo 2.2 sobre as ausências legais</t>
  </si>
  <si>
    <t>Total das ausências legais apurada x Incidência do submódulo 2.2</t>
  </si>
  <si>
    <t>Calculado no submódulo 4.1.1 tendo em vista a complexidade do item.</t>
  </si>
  <si>
    <t>Férias pagas ao Substituto pelos 120 dias de Reposição</t>
  </si>
  <si>
    <t>Submódulo 4.1.1 – Afastamento maternidade (Referência: 120 dias)</t>
  </si>
  <si>
    <t>Incidência dos encargos do Submódulo 2.2 sobre as Férias pagas ao Substituto pelos 120 dias de Reposição</t>
  </si>
  <si>
    <t>Incidência dos encargos do Submódulo 2.2 sobre a Remuneração e o 13 Salário proporcionais aos 120 dias de Reposição</t>
  </si>
  <si>
    <t>Outros</t>
  </si>
  <si>
    <t>4.1.1</t>
  </si>
  <si>
    <t>Afastamento Maternidade (120 dias)</t>
  </si>
  <si>
    <t>Férias pagas ao substituto pelos 120 dias de reposição x Incidência do Submódulo 2.2</t>
  </si>
  <si>
    <t>Foi considerado que não haverá a necessidade de cobertura do profissional no período de intervalo para repouso/alimentação.</t>
  </si>
  <si>
    <r>
      <t xml:space="preserve">{[(Total da remuneração + Terço constitucional) x (Meses de afastamento por licença-maternidade </t>
    </r>
    <r>
      <rPr>
        <i/>
        <sz val="10"/>
        <color theme="1"/>
        <rFont val="Calibri"/>
        <family val="2"/>
      </rPr>
      <t>÷</t>
    </r>
    <r>
      <rPr>
        <i/>
        <sz val="10"/>
        <color theme="1"/>
        <rFont val="Arial"/>
        <family val="2"/>
      </rPr>
      <t xml:space="preserve"> Meses do ano)] </t>
    </r>
    <r>
      <rPr>
        <i/>
        <sz val="10"/>
        <color theme="1"/>
        <rFont val="Calibri"/>
        <family val="2"/>
      </rPr>
      <t>÷</t>
    </r>
    <r>
      <rPr>
        <i/>
        <sz val="10"/>
        <color theme="1"/>
        <rFont val="Arial"/>
        <family val="2"/>
      </rPr>
      <t xml:space="preserve"> Meses do ano} x Incidência de ocorrência</t>
    </r>
  </si>
  <si>
    <r>
      <t xml:space="preserve">{[(Total da remuneração + 13º salário) x (Meses de afastamento por licença-maternidade </t>
    </r>
    <r>
      <rPr>
        <i/>
        <sz val="10"/>
        <color theme="1"/>
        <rFont val="Calibri"/>
        <family val="2"/>
      </rPr>
      <t>÷</t>
    </r>
    <r>
      <rPr>
        <i/>
        <sz val="10"/>
        <color theme="1"/>
        <rFont val="Arial"/>
        <family val="2"/>
      </rPr>
      <t xml:space="preserve"> Meses do ano)] x Incidência de ocorrência da licença-maternidade} x Incidência do Submódulo 2.2</t>
    </r>
  </si>
  <si>
    <r>
      <t xml:space="preserve">[(Total da remuneração </t>
    </r>
    <r>
      <rPr>
        <i/>
        <sz val="10"/>
        <color theme="1"/>
        <rFont val="Calibri"/>
        <family val="2"/>
      </rPr>
      <t>÷</t>
    </r>
    <r>
      <rPr>
        <i/>
        <sz val="10"/>
        <color theme="1"/>
        <rFont val="Arial"/>
        <family val="2"/>
      </rPr>
      <t xml:space="preserve"> Mês) </t>
    </r>
    <r>
      <rPr>
        <i/>
        <sz val="10"/>
        <color theme="1"/>
        <rFont val="Calibri"/>
        <family val="2"/>
      </rPr>
      <t>÷</t>
    </r>
    <r>
      <rPr>
        <i/>
        <sz val="10"/>
        <color theme="1"/>
        <rFont val="Arial"/>
        <family val="2"/>
      </rPr>
      <t xml:space="preserve"> Meses do ano] x Média de ausências por ano - Estimativa de ausências deve ser de contratos anteriores, utilizado "1" dia como referência da Zênite</t>
    </r>
  </si>
  <si>
    <r>
      <t xml:space="preserve">{[(Total da remuneração </t>
    </r>
    <r>
      <rPr>
        <i/>
        <sz val="10"/>
        <color theme="1"/>
        <rFont val="Calibri"/>
        <family val="2"/>
      </rPr>
      <t>÷</t>
    </r>
    <r>
      <rPr>
        <i/>
        <sz val="10"/>
        <color theme="1"/>
        <rFont val="Arial"/>
        <family val="2"/>
      </rPr>
      <t xml:space="preserve"> Mês) </t>
    </r>
    <r>
      <rPr>
        <i/>
        <sz val="10"/>
        <color theme="1"/>
        <rFont val="Calibri"/>
        <family val="2"/>
      </rPr>
      <t>÷</t>
    </r>
    <r>
      <rPr>
        <i/>
        <sz val="10"/>
        <color theme="1"/>
        <rFont val="Arial"/>
        <family val="2"/>
      </rPr>
      <t xml:space="preserve"> Meses do ano] x Média de dias de licença por ano} x Porcentagem de incidência de ocorrência da licença-paternidade - Estimativa da licença-paternidade deve ser de contratos anteriores, utilizado "1,5%" como referência da Zênite</t>
    </r>
  </si>
  <si>
    <r>
      <t xml:space="preserve">Incluída a Ausência por doença, mas poderia ser incluído outros custos - {[(Total da remuneração </t>
    </r>
    <r>
      <rPr>
        <i/>
        <sz val="10"/>
        <color theme="1"/>
        <rFont val="Calibri"/>
        <family val="2"/>
      </rPr>
      <t>÷</t>
    </r>
    <r>
      <rPr>
        <i/>
        <sz val="10"/>
        <color theme="1"/>
        <rFont val="Arial"/>
        <family val="2"/>
      </rPr>
      <t xml:space="preserve"> Mês) </t>
    </r>
    <r>
      <rPr>
        <i/>
        <sz val="10"/>
        <color theme="1"/>
        <rFont val="Calibri"/>
        <family val="2"/>
      </rPr>
      <t>÷</t>
    </r>
    <r>
      <rPr>
        <i/>
        <sz val="10"/>
        <color theme="1"/>
        <rFont val="Arial"/>
        <family val="2"/>
      </rPr>
      <t xml:space="preserve"> Meses do ano] x Média de dias pagos pela empresa} x Porcentagem de incidência de ocorrência de ausências por doença</t>
    </r>
  </si>
  <si>
    <t>Afastamento maternidade (referência: 120 dias)</t>
  </si>
  <si>
    <t>Lucro Real
Valor (R$)</t>
  </si>
  <si>
    <t>Lucro Presumido
Valor (R$)</t>
  </si>
  <si>
    <t>%</t>
  </si>
  <si>
    <t>Valor</t>
  </si>
  <si>
    <t>Base para o cálculo dos tributos</t>
  </si>
  <si>
    <t>C.1. Tributos Federais (PIS/COFINS)</t>
  </si>
  <si>
    <t>PIS</t>
  </si>
  <si>
    <t>COFINS</t>
  </si>
  <si>
    <t>ISS</t>
  </si>
  <si>
    <t>C.3. Tributos Municipais (ISS)</t>
  </si>
  <si>
    <t>Base para tributos x Alíquota do ISS</t>
  </si>
  <si>
    <t>Base para tributos x Alíquota do COFINS</t>
  </si>
  <si>
    <t>Base para tributos x Alíquota do PIS</t>
  </si>
  <si>
    <t>Somatório dos tributos federais</t>
  </si>
  <si>
    <t>Somatório dos tributos municipais</t>
  </si>
  <si>
    <t>Somatório dos tributos estaduais, porém não foi considerado nenhum tributo estadual, tendo em vista a natureza do serviço.</t>
  </si>
  <si>
    <r>
      <t xml:space="preserve">Fator de divisão: 1-[(Alíquota do PIS + Alíquota do COFINS + Alíquota do ISS) </t>
    </r>
    <r>
      <rPr>
        <sz val="10"/>
        <color theme="1"/>
        <rFont val="Calibri"/>
        <family val="2"/>
      </rPr>
      <t>÷</t>
    </r>
    <r>
      <rPr>
        <i/>
        <sz val="10"/>
        <color theme="1"/>
        <rFont val="Arial"/>
        <family val="2"/>
      </rPr>
      <t xml:space="preserve"> 100
Base para o cálculo dos tributos: (Módulo 1 + Módulo 2 + Módulo 3 + Módulo 4 + Módulo 5 + Lucro) </t>
    </r>
    <r>
      <rPr>
        <sz val="10"/>
        <color theme="1"/>
        <rFont val="Calibri"/>
        <family val="2"/>
      </rPr>
      <t>÷</t>
    </r>
    <r>
      <rPr>
        <i/>
        <sz val="10"/>
        <color theme="1"/>
        <rFont val="Arial"/>
        <family val="2"/>
      </rPr>
      <t xml:space="preserve"> Fator de divisão</t>
    </r>
  </si>
  <si>
    <t>TOTAL A + B + C</t>
  </si>
  <si>
    <t>(2)
PREÇO HOMEM-MÊS (R$)</t>
  </si>
  <si>
    <t>(5)
PREÇO 
HOMEM-MÊS (R$)</t>
  </si>
  <si>
    <t>Nota: A planilha será calculada considerando o valor mensal do empregado.</t>
  </si>
  <si>
    <t>Nota 1: Como a planilha de custos e formação de preços é calculada mensalmente, provisiona-se proporcionalmente 1/12 (um doze avos) dos valores referentes a gratificação natalina e adicional de férias.</t>
  </si>
  <si>
    <t>Nota 2: O adicional de férias contido no Submódulo 2.1 corresponde a 1/3 (um terço) da remuneração que por sua vez é divido por 12 (doze) conforme Nota 1 acima.</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</si>
  <si>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</si>
  <si>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</si>
  <si>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Esses percentuais incidem sobre o Módulo 1, o Submódulo 2.1, o Módulo 3, Módulo 4 e o Módulo 6.</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</si>
  <si>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</si>
  <si>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 nº 05/2017.</t>
  </si>
  <si>
    <t>Nota 1: Os itens que contemplam o módulo 4 se referem ao custo dos dias trabalhados pelo repositor/substituto que por ventura venha cobrir o empregado nos casos de Ausências Legais (Submódulo 4.1) e/ou na Intrajornada (Submódulo 4.2), a depender da prestação do serviço.</t>
  </si>
  <si>
    <t>Nota 2: Haverá a incidência do Submódulo 2.2 sobre esse módulo.</t>
  </si>
  <si>
    <t>Nota: As alíneas “A” a “F” referem-se somente ao custo que será pago ao repositor pelos dias trabalhados quando da necessidade de substituir a mão de obra alocada na prestação do serviço.</t>
  </si>
  <si>
    <t>Nota: Quando houver a necessidade de reposição de um empregado durante sua ausência nos casos de intervalo para repouso ou alimentação deve-se contemplar o Submódulo 4.2.</t>
  </si>
  <si>
    <t>Nota 1: Valores mensais por empregado.</t>
  </si>
  <si>
    <t>Nota 1: Custos Indiretos, Tributos e Lucro por empregado.</t>
  </si>
  <si>
    <t>Nota 2: O valor referente a tributos é obtido aplicando-se o percentual sobre o valor do faturamento</t>
  </si>
  <si>
    <t>Somatório dos tributos federais, estaduais e municipais</t>
  </si>
  <si>
    <t>(Valor do transporte x Quantidade de vales utilizados por dia x Média de dias úteis no mês) - Desconto da parte do empregado</t>
  </si>
  <si>
    <t>Valor do transporte</t>
  </si>
  <si>
    <t>Quantidade de vales utilizados por dia</t>
  </si>
  <si>
    <t>Média de dias úteis no mês</t>
  </si>
  <si>
    <t>2.3-Aux. Refeição-Alimentação</t>
  </si>
  <si>
    <t>Valor do auxílio-refeição diário</t>
  </si>
  <si>
    <t>Foi considerado que não haverá incidência deste item.</t>
  </si>
  <si>
    <t>Aviso-prévio trabalhado x Incidência do Submódulo 2.2</t>
  </si>
  <si>
    <t>Somatório do FGTS 40% + Contribuição social 10%</t>
  </si>
  <si>
    <t>{[(Total da remuneração + 13º salário + Férias e terço constitucional de férias) x Multa sobre contribuição social] x Alíquota de recolhimento mensal do FGTS} x Porcentagem de dispensa sem justa causa com aviso-prévio trabalhado</t>
  </si>
  <si>
    <t>Valor relativo ao Programa de Alimentação do Trabalhador - PAT</t>
  </si>
  <si>
    <t>(Total da remuneração x Alíquota do INSS Empregador) + [(13º Salário + Férias e Adicional de férias) x Alíquota do INSS empregador</t>
  </si>
  <si>
    <t>Total da remuneração + 13º Salário + Férias e Adicional de férias) x Alíquota do Salário Educação</t>
  </si>
  <si>
    <t>Utilizado o grau de risco médio - Total da remuneração + 13º Salário + Férias e Adicional de férias) x Alíquota do SAT</t>
  </si>
  <si>
    <t>Total da remuneração + 13º Salário + Férias e Adicional de férias) x Alíquota do SESC ou SESI - Não se aplica ao Simples Nacional</t>
  </si>
  <si>
    <t>Total da remuneração + 13º Salário + Férias e Adicional de férias) x Alíquota do SENAI-SENAC - Não se aplica ao Simples Nacional</t>
  </si>
  <si>
    <t>Total da remuneração + 13º Salário + Férias e Adicional de férias) x Alíquota do SEBRAE - Não se aplica ao Simples Nacional</t>
  </si>
  <si>
    <t>Total da remuneração + 13º Salário + Férias e Adicional de férias) x Alíquota do INCRA - Não se aplica ao Simples Nacional</t>
  </si>
  <si>
    <t>Total da remuneração + 13º Salário + Férias e Adicional de férias) x Alíquota do FGTS</t>
  </si>
  <si>
    <r>
      <t xml:space="preserve">Total da remuneração </t>
    </r>
    <r>
      <rPr>
        <sz val="10"/>
        <color theme="1"/>
        <rFont val="Calibri"/>
        <family val="2"/>
      </rPr>
      <t>÷</t>
    </r>
    <r>
      <rPr>
        <i/>
        <sz val="10"/>
        <color theme="1"/>
        <rFont val="Arial"/>
        <family val="2"/>
      </rPr>
      <t xml:space="preserve"> Meses do ano</t>
    </r>
  </si>
  <si>
    <r>
      <t xml:space="preserve">[(Total da remuneração </t>
    </r>
    <r>
      <rPr>
        <sz val="10"/>
        <color theme="1"/>
        <rFont val="Calibri"/>
        <family val="2"/>
      </rPr>
      <t>÷</t>
    </r>
    <r>
      <rPr>
        <i/>
        <sz val="10"/>
        <color theme="1"/>
        <rFont val="Arial"/>
        <family val="2"/>
      </rPr>
      <t xml:space="preserve"> Meses do ano + (1/3 Total da remuneração </t>
    </r>
    <r>
      <rPr>
        <sz val="10"/>
        <color theme="1"/>
        <rFont val="Calibri"/>
        <family val="2"/>
      </rPr>
      <t>÷</t>
    </r>
    <r>
      <rPr>
        <i/>
        <sz val="10"/>
        <color theme="1"/>
        <rFont val="Arial"/>
        <family val="2"/>
      </rPr>
      <t xml:space="preserve"> Meses do ano)]</t>
    </r>
  </si>
  <si>
    <r>
      <t xml:space="preserve">Utilizada taxa de 5% referente a porcentagem de dispensa sem justa causa com aviso prévio indenizado - (Total da remuneração </t>
    </r>
    <r>
      <rPr>
        <sz val="10"/>
        <color theme="1"/>
        <rFont val="Calibri"/>
        <family val="2"/>
      </rPr>
      <t>÷</t>
    </r>
    <r>
      <rPr>
        <i/>
        <sz val="10"/>
        <color theme="1"/>
        <rFont val="Arial"/>
        <family val="2"/>
      </rPr>
      <t xml:space="preserve"> Meses do ano) x Porcentagem de dispensa sem justa caus com aviso-prévio indenizado</t>
    </r>
  </si>
  <si>
    <t>Materiais e produtos de limpeza</t>
  </si>
  <si>
    <t>Equipamentos e utensílios de limpeza</t>
  </si>
  <si>
    <t>Uniformes e EPIs</t>
  </si>
  <si>
    <t xml:space="preserve">RELAÇÃO DE UNIFORMES E EQUIPAMENTOS DE PROTEÇÃO INDIVIDUAL (EPIs) </t>
  </si>
  <si>
    <t>Cláusula décima segunda da CCT - Dos direitos as coberturas sociais - parágrafo primeiro</t>
  </si>
  <si>
    <t>Cláusula décima primeira da CCT - Cesta básica</t>
  </si>
  <si>
    <t>Desconto 20% do PAT</t>
  </si>
  <si>
    <t>Foi considerada a totalidade da multa na alínea "f", pois independetemente do funcionário ser dispensado com "Aviso prévio indenizado" ou "Aviso prévio trabalhado" o valor a ser pago será o mesmo. O que poderia ser adequado é colocar um percentual para cada item, como 5% para indenizado e 95% para trabalhado, mas o valor final não será alterado. Neste caso foi 0% para indenizado e 100% para trabalhado.</t>
  </si>
  <si>
    <t>(Valor do auxílio-refeição diário x Média de dias úteis no mês) - Custo do vale-alimentação assumido pelo empregado (20%). Neste caso, foi descontado 20% do PAT.</t>
  </si>
  <si>
    <t>{[(Total da remuneração ÷ Dias do mês) ÷ Meses do ano] x 7 dias de redução da jornada} x Porcentagem de dispensa sem justa causa com aviso-prévio trabalhado</t>
  </si>
  <si>
    <t>- Nota Zênite: Considerando que o valor pago ao substituto durante as férias do empregado já consta na remuneração (Módulo 1) e que o valor pago ao empregador para fazer frente ao custo de suas férias acrescidas do terço constitucional já foram apuradas na letra B do submódulo 2.1, não existe o custo a ser aportado nesta rúbrica.
- Nota Hemobrás: Após leitura das explicações do Ministério do Planejamento, observamos que pode haver incidência deste item. Se o contrato for renovado haverá a necessidade de férias após 1 ano para o profissional fixo, havendo assim todos os custos do profissional repositor neste período (Módulo 1 Remuneração + Módulo 2 Encargos e Benefícios +  Submódulo 2.2 Encargos Previdenciários + Módulo 3 Provisão para recisão), porém se todos os funcionários forem demitidos ao fim do contrato de 1 ano, como exemplo, não haverá férias do profissinal fixo, não sendo necessário o repositor.</t>
  </si>
  <si>
    <t>Caixa com 24 refis contendo 25 unidades cada</t>
  </si>
  <si>
    <t>Pacote com 1200 unidades</t>
  </si>
  <si>
    <t>VALOR 
ANUAL</t>
  </si>
  <si>
    <t>QUANTIDADE (ANUAL)</t>
  </si>
  <si>
    <t>ANEXO IX</t>
  </si>
  <si>
    <t>Jaleco</t>
  </si>
  <si>
    <t>Calça</t>
  </si>
  <si>
    <t>Par de Luvas de PVC cano longo</t>
  </si>
  <si>
    <t>QUANTIDADE
TOTAL</t>
  </si>
  <si>
    <t>ANEXO IV</t>
  </si>
  <si>
    <t>Outros (especificar) Custo de transporte dos empregados (fretamento para local não servido de transporte público)</t>
  </si>
  <si>
    <t>25800.004080/2019</t>
  </si>
  <si>
    <t>Par de Calçado de segurança em couro, com biqueira de composite</t>
  </si>
  <si>
    <t>Par de Luvas de látex cano médio (amarela)</t>
  </si>
  <si>
    <t>DETERGENTE DE USO GERAL, neutro, concentrado. Diluível em água limpa até 1 para 15. Devem constar na embalagem: data de fabricação, validade, número do lote e registro no Ministério da Saúde/ANVISA.</t>
  </si>
  <si>
    <t>DETERGENTE NEUTRO PARA MÁQUINA LAVADORA DE PISOS, (compatível com a máquina especificada no ANEXO VI). Devem constar na embalagem: data de fabricação, validade, número do lote e registro no Ministério da Saúde/ANVISA.</t>
  </si>
  <si>
    <t>ESPONJA DUPLA-FACE MULTIUSO, bicolor (lado verde de fibra abrasiva para limpeza mais difícil e lado amarelo de esponja macia para limpeza mais delicada). Dimensões: 100x71x20mm.</t>
  </si>
  <si>
    <t>FLANELA 100% ALGODÃO. Dimensões: 45x60 cm.</t>
  </si>
  <si>
    <t>LIMPA ALUMÍNIO</t>
  </si>
  <si>
    <t>LIMPA INOX</t>
  </si>
  <si>
    <t>PANO DE COPA/PRATO</t>
  </si>
  <si>
    <t>QUANTIDADE (MENSAL)</t>
  </si>
  <si>
    <t>Frasco com 500mL</t>
  </si>
  <si>
    <t>Frasco com 500 mL</t>
  </si>
  <si>
    <t>cx. com 100</t>
  </si>
  <si>
    <t>VALOR 
TOTAL 
(12 MESES)</t>
  </si>
  <si>
    <t>ASPIRADOR DE PÓ E LÍQUIDO, potência de 2000 W, aspiração de 200 mbar, vazão de 100 litros/segundo, reservatório de 70 L, tensão 220 V.</t>
  </si>
  <si>
    <t>BALDE DE PLÁSTICO, tamanho médio, alça de arame galvanizado, capacidade 10 litros, com reforço no fundo e bordas.</t>
  </si>
  <si>
    <t>CARRINHO FUNCIONAL PARA LIMPEZA com rodas traseiras de 8" e dianteiras de 3"acompanhado, no mínimo, dos seguintes elementos: pá coletora de lixo com tampa; conjunto de balde espremedor com divisão de água limpa/água suja, com capacidade de, no mínimo,15 litros; saco de lona para coleta de lixo; conjunto Mop pó (cabo em alumínio, armação e refil mop pó); conjunto Mop úmido (cabo em alumínio, haste e refil Mop úmido).</t>
  </si>
  <si>
    <t>DESENTUPIDOR PARA VASO SANITÁRIO com bocal de borracha e cabo de plástico.</t>
  </si>
  <si>
    <t>DISCO PARA ENCERADEIRA (COR BRANCA)</t>
  </si>
  <si>
    <t>DISCO PARA ENCERADEIRA (COR PRETO)</t>
  </si>
  <si>
    <t>DISCOS PARA MÁQUINA LAVADORA DE PISOS COM BAIXA ABRASIVIDADE</t>
  </si>
  <si>
    <t>DISPENSER PARA DESCARTE DE ABSORVENTE HIGIÊNICO, fabricado em ABS. Dimensões minímas: 200x100x34mm (altura x largura x profundidade).</t>
  </si>
  <si>
    <t>DISPENSER PARA PAPEL TOALHA, com base em ABS branco e tampa em policarbonato com janela transparente para visualização do nivel de papel, fechamento com chave, com capacidade para papel toalha de 2 ou 3 dobras. Dimensões aproximadas: 340x270x120 mm (altura x largura x profundidade).</t>
  </si>
  <si>
    <t>DISPENSER PARA SABONETE LÍQUIDO, 800 ml, na cor branca, fechamento com chave, base e tampa em ABS. Dimensões: 240x110x110 mm (altura x largura x profundidade).</t>
  </si>
  <si>
    <t>ENCERADEIRA ELÉTRICA 220V com capacidade operacional de 900 m²</t>
  </si>
  <si>
    <t>ESCADA EM ALUMÍNIO 4 DEGRAUS, dobrável, com estrutura em Alumínio e peças plásticas em polipropileno. Dimensões aproximadas: 72x42x123cm (altura x largura x profundidade).</t>
  </si>
  <si>
    <t>ESCOVA SANITÁRIA PLÁSTICA PARA LIMPEZA DE VASO SANITÁRIO (Vassourinha de vaso sanitário com suporte)</t>
  </si>
  <si>
    <t>ESPANADOR</t>
  </si>
  <si>
    <t>EXTENSOR TELESCÓPICO – 4m - Extensor telescópico (4 metros) em alumínio, com encaixe compatível com o suporte para fixação do MOP úmido plano.</t>
  </si>
  <si>
    <t>EXTENSOR TELESCÓPICO – 6m - Extensor telescópico (6 metros) em alumínio, com encaixe compatível com o suporte para fixação do MOP úmido plano.</t>
  </si>
  <si>
    <t>LAVADORA DE ALTA PRESSÃO (tipo lava a jato)</t>
  </si>
  <si>
    <t>MANGUEIRA (50 metros)</t>
  </si>
  <si>
    <t>MÁQUINA LAVADORA DE PISOS, apropriada para pisos resinados (epóxi, uretano e poliuretano). OBSERVAÇÃO: Este equipamento será destinado apenas para o bloco de almoxarifado (B05). Portanto, seu uso não deve ser considerado para o cálculo da produtividade total do contrato.</t>
  </si>
  <si>
    <t>MOP MOLHADO</t>
  </si>
  <si>
    <t>MOP SECO</t>
  </si>
  <si>
    <t>PÁ RECOLHEDORA COM TAMPA PARA LIXO COM CABO GRANDE</t>
  </si>
  <si>
    <t>PLACA SINALIZADORA AMARELA “PISO MOLHADO”</t>
  </si>
  <si>
    <t>RODO DE PIA</t>
  </si>
  <si>
    <t>RODO LIMPA VIDROS (COM CABO ALONGADOR)</t>
  </si>
  <si>
    <t>VASSOURA DE NYLON</t>
  </si>
  <si>
    <t>VASSOURA DE PIAÇAVA. Cepo: madeira. Cerdas: piaçava ou nylon. Cabo: madeira, reto plastificado, rosqueável com ponteira de plástico e 1,20 m de comprimento.</t>
  </si>
  <si>
    <t>VASSOURÃO (TIPO GARI CERDAS DE PIAÇAVA) – para áreas externas</t>
  </si>
  <si>
    <t>QUANTIDADE
ENTREGA NO INÍCIO DO CONTRATO</t>
  </si>
  <si>
    <t>QUANTIDADE
ENTREGA NO 2º SEMESTRE</t>
  </si>
  <si>
    <t>Item 2.3 - Transporte (quando o local da prestação do serviço é servido de transporte público)</t>
  </si>
  <si>
    <t>Valor mensal do transporte</t>
  </si>
  <si>
    <t>Desconto da parte do empregado (%)</t>
  </si>
  <si>
    <t>Desconto da parte do empregado (R$)</t>
  </si>
  <si>
    <t>Item 2.3 - Outros (especificar) Custo de transporte dos empregados (fretamento para local não servido de transporte público)</t>
  </si>
  <si>
    <t>Quantidade de pessoas transportadas</t>
  </si>
  <si>
    <t>Custo do transporte mensal</t>
  </si>
  <si>
    <t>Custo mensal do transporte rateado por empregado</t>
  </si>
  <si>
    <t>Custo de Transporte mensal por empregado</t>
  </si>
  <si>
    <t>I - ÁREA INTERNA (PISO FRIO)</t>
  </si>
  <si>
    <r>
      <t>I - ÁREA INTERNA</t>
    </r>
    <r>
      <rPr>
        <sz val="10"/>
        <color theme="1"/>
        <rFont val="Arial"/>
        <family val="2"/>
      </rPr>
      <t xml:space="preserve"> </t>
    </r>
    <r>
      <rPr>
        <b/>
        <sz val="10"/>
        <color theme="1"/>
        <rFont val="Arial"/>
        <family val="2"/>
      </rPr>
      <t>(PISO FRIO)</t>
    </r>
  </si>
  <si>
    <t>II - ÁREA INTERNA (ÁREAS COM ESPAÇOS LIVRES – SAGUÃO, HALL E SALÃO)</t>
  </si>
  <si>
    <t>III - ÁREA INTERNA (LABORATÓRIO E ÁREA DE PRODUÇÃO)</t>
  </si>
  <si>
    <r>
      <t>IV - ÁREA INTERNA</t>
    </r>
    <r>
      <rPr>
        <sz val="10"/>
        <color theme="1"/>
        <rFont val="Arial"/>
        <family val="2"/>
      </rPr>
      <t xml:space="preserve"> </t>
    </r>
    <r>
      <rPr>
        <b/>
        <sz val="10"/>
        <color theme="1"/>
        <rFont val="Arial"/>
        <family val="2"/>
      </rPr>
      <t>(ALMOXARIFADO)</t>
    </r>
  </si>
  <si>
    <r>
      <t>V - ÁREA INTERNA</t>
    </r>
    <r>
      <rPr>
        <sz val="10"/>
        <color theme="1"/>
        <rFont val="Arial"/>
        <family val="2"/>
      </rPr>
      <t xml:space="preserve"> </t>
    </r>
    <r>
      <rPr>
        <b/>
        <sz val="10"/>
        <color theme="1"/>
        <rFont val="Arial"/>
        <family val="2"/>
      </rPr>
      <t>(OFICINA)</t>
    </r>
  </si>
  <si>
    <r>
      <t>VI - ÁREA INTERNA</t>
    </r>
    <r>
      <rPr>
        <sz val="10"/>
        <color theme="1"/>
        <rFont val="Arial"/>
        <family val="2"/>
      </rPr>
      <t xml:space="preserve"> </t>
    </r>
    <r>
      <rPr>
        <b/>
        <sz val="10"/>
        <color theme="1"/>
        <rFont val="Arial"/>
        <family val="2"/>
      </rPr>
      <t>(BANHEIROS)</t>
    </r>
  </si>
  <si>
    <t>VII - ÁREA EXTERNA (PISO PAVIMENTADO ADJACENTE/CONTÍGUO À EDIFICAÇÃO)</t>
  </si>
  <si>
    <t>VIII - ÁREA EXTERNA (VARRIÇÃO DE PASSEIOS E ARRUAMENTOS)</t>
  </si>
  <si>
    <t>IX - ESQUADRIA EXTERNA (COM EXPOSIÇÃO À SITUAÇÃO DE RISCO)</t>
  </si>
  <si>
    <t>X - ESQUADRIA EXTERNA (SEM EXPOSIÇÃO À SITUAÇÃO DE RISCO)</t>
  </si>
  <si>
    <r>
      <t>XI - ESQUADRIA EXTERNA</t>
    </r>
    <r>
      <rPr>
        <sz val="10"/>
        <color theme="1"/>
        <rFont val="Arial"/>
        <family val="2"/>
      </rPr>
      <t xml:space="preserve"> (</t>
    </r>
    <r>
      <rPr>
        <b/>
        <sz val="10"/>
        <color theme="1"/>
        <rFont val="Arial"/>
        <family val="2"/>
      </rPr>
      <t>FACE INTERNA SEM EXPOSIÇÃO À SITUAÇÃO DE RISCO)</t>
    </r>
  </si>
  <si>
    <t>IV - ÁREA INTERNA (ALMOXARIFADO)</t>
  </si>
  <si>
    <t>V - ÁREA INTERNA (OFICINA)</t>
  </si>
  <si>
    <t>VI - ÁREA INTERNA (BANHEIROS)</t>
  </si>
  <si>
    <t>XI - ESQUADRIA EXTERNA (FACE INTERNA SEM EXPOSIÇÃO À SITUAÇÃO DE RISCO)</t>
  </si>
  <si>
    <t>TIPOS DE ÁREAS</t>
  </si>
  <si>
    <t>Produtividade por servente em jornada de 8h diárias (m²) - DIÁRIA</t>
  </si>
  <si>
    <t>Produtividade por servente em jornada de 8h diárias (m²) - SEMANAL</t>
  </si>
  <si>
    <t>Tabela 1A: Dimensionamento das Áreas e Produtividades - DIÁRIA</t>
  </si>
  <si>
    <t>XI - ESQUADRIA FACE INTERNA</t>
  </si>
  <si>
    <t>Tabela 1B: Dimensionamento das Áreas e Produtividades - SEMANAL</t>
  </si>
  <si>
    <t>Tabela 1C: Dimensionamento das Áreas e Produtividades - MENSAL</t>
  </si>
  <si>
    <t>Produtividade por servente em jornada de 8h diárias (m²) - MENSAL</t>
  </si>
  <si>
    <t>Arredondamento</t>
  </si>
  <si>
    <t>Índice Mínimo</t>
  </si>
  <si>
    <t>Índice Máximo</t>
  </si>
  <si>
    <t>IN 05/2017</t>
  </si>
  <si>
    <t>DISPENSER PARA PAPEL HIGIÊNICO ROLO GRANDE, com base e tampa em ABS branco, fechamento com chave, capacidade para rolos com até 500 m compactados e 300 m com bobinamento manual. Dimensões aproximadas: 275x270x120 mm (altura x largura x profundidade).</t>
  </si>
  <si>
    <t>RODO INDUSTRIAL COM 80 CM DE COMPRIMENTO, confeccionado em alumínio e polipropileno, com borracha dupla de nylon de grande resistência que não marca piso, encaixe para cabo de alumínio e cabo na altura mínima de 1,50 m.</t>
  </si>
  <si>
    <t>ANEXO VI-E (QUADRO DEMONSTRATIVO DO VALOR GLOBAL DA PROPOSTA)</t>
  </si>
  <si>
    <t>A2 - Custo Mensal Limpeza Diária</t>
  </si>
  <si>
    <t>B2 - Custo Mensal Limpeza Semanal</t>
  </si>
  <si>
    <t>C2 - Custo Mensal Limpeza Mensal</t>
  </si>
  <si>
    <t>TOTAL DE POSTOS OFERTADOS/MÊS PARA PROPOSTA EXEQUÍVEL
(SOMA DE POSTOS DE A4+B4+C4)</t>
  </si>
  <si>
    <t>VALOR GLOBAL (MENSAL) DA PROPOSTA PARA SERVIÇOS DE LIMPEZA
(SOMA DO CUSTO MENSAL DE A2+B2+C2)</t>
  </si>
  <si>
    <t>A1 - Valor total por empregado</t>
  </si>
  <si>
    <t>A3 - Custo 12 Meses Limpeza Diária</t>
  </si>
  <si>
    <r>
      <t xml:space="preserve">A4 - Quantidade de Postos de Serviço Ofertados (A2 </t>
    </r>
    <r>
      <rPr>
        <sz val="10"/>
        <color rgb="FF000000"/>
        <rFont val="Calibri"/>
        <family val="2"/>
      </rPr>
      <t>÷</t>
    </r>
    <r>
      <rPr>
        <sz val="10"/>
        <color rgb="FF000000"/>
        <rFont val="Arial"/>
        <family val="2"/>
      </rPr>
      <t xml:space="preserve"> A1)</t>
    </r>
  </si>
  <si>
    <t>B1 - Valor total por empregado</t>
  </si>
  <si>
    <t>B3- Custo 12 Meses Limpeza Semanal</t>
  </si>
  <si>
    <t>B4 - Quantidade de Postos de Serviço Ofertados (B2 ÷ B1)</t>
  </si>
  <si>
    <t>C1 - Valor total por empregado</t>
  </si>
  <si>
    <t>C3 - Custo 12 Meses Limpeza Mensal</t>
  </si>
  <si>
    <t>C4 - Quantidade de Postos de Serviço Ofertados (C2 ÷ C1)</t>
  </si>
  <si>
    <t>VALOR GLOBAL (12 MESES) DA PROPOSTA PARA SERVIÇOS DE LIMPEZA
(SOMA DO CUSTO ANUAL DE A3+B3+C3)</t>
  </si>
  <si>
    <t>VALOR TOTAL
(12 MESES)</t>
  </si>
  <si>
    <t>VIDA ÚTIL
(ANOS)</t>
  </si>
  <si>
    <t>Par de Botas Térmicas
(apenas para 04 (quatro) postos designados para limpeza em área fria em B01 e B05). Ratear o valor de custo do equipamento para estes profissionais pelo total de serventes de limpeza.</t>
  </si>
  <si>
    <t>Litro</t>
  </si>
  <si>
    <r>
      <t xml:space="preserve">ESPORICIDA
</t>
    </r>
    <r>
      <rPr>
        <b/>
        <u/>
        <sz val="10"/>
        <color theme="1"/>
        <rFont val="Arial"/>
        <family val="2"/>
      </rPr>
      <t xml:space="preserve">OPÇÃO 2
</t>
    </r>
    <r>
      <rPr>
        <sz val="10"/>
        <color theme="1"/>
        <rFont val="Arial"/>
        <family val="2"/>
      </rPr>
      <t>- Princípio Ativo: Quaternário de amônia + Biguanida Polimérica. 
- Diluição de uso: 1:20
- pH da solução final: Neutro (6,5 a 7,5)
- Deve possuir Registro no Ministério da Saúde, e apresentar Laudo técnico reblado que comprove ação Esporicida.
- Deve ser fornecido sistema de diluição que permita a concentração de 1:20.</t>
    </r>
  </si>
  <si>
    <r>
      <t xml:space="preserve">ESPORICIDA
</t>
    </r>
    <r>
      <rPr>
        <b/>
        <u/>
        <sz val="10"/>
        <color theme="1"/>
        <rFont val="Arial"/>
        <family val="2"/>
      </rPr>
      <t xml:space="preserve">OPÇÃO 1
</t>
    </r>
    <r>
      <rPr>
        <sz val="10"/>
        <color theme="1"/>
        <rFont val="Arial"/>
        <family val="2"/>
      </rPr>
      <t>- Princípio ativo: Quaternário de amônia  + Peróxido de Hidrogênio .
- Diluição de uso: 1:25
- pH da solução final: Neutro (6,5 a 7,5)
- Deve possuir Registro no Ministério da Saúde, e apresentar Laudo técnico reblado que comprove ação Esporicida.
- Deve ser fornecido sistema de diluição que permita a concentração de 1:25. OU</t>
    </r>
  </si>
  <si>
    <r>
      <rPr>
        <b/>
        <sz val="10"/>
        <color theme="1"/>
        <rFont val="Arial"/>
        <family val="2"/>
      </rPr>
      <t>ÁGUA SANITÁRIA</t>
    </r>
    <r>
      <rPr>
        <sz val="10"/>
        <color theme="1"/>
        <rFont val="Arial"/>
        <family val="2"/>
      </rPr>
      <t>. Composição: água e hipoclorito de sódio, com teor de cloro ativo 2% a 2,5% PP. Devem constar na embalagem: data de fabricação, validade, número do lote e registro no Ministério da Saúde.</t>
    </r>
  </si>
  <si>
    <r>
      <rPr>
        <b/>
        <sz val="10"/>
        <color theme="1"/>
        <rFont val="Arial"/>
        <family val="2"/>
      </rPr>
      <t>ÁLCOOL ETÍLICO EM SOLUÇÃO A 70% (em Gel)</t>
    </r>
    <r>
      <rPr>
        <sz val="10"/>
        <color theme="1"/>
        <rFont val="Arial"/>
        <family val="2"/>
      </rPr>
      <t>. Devem constar na embalagem: data de fabricação, validade, número do lote e registro no Ministério da Saúde.</t>
    </r>
  </si>
  <si>
    <r>
      <rPr>
        <b/>
        <sz val="10"/>
        <color theme="1"/>
        <rFont val="Arial"/>
        <family val="2"/>
      </rPr>
      <t>ÁLCOOL ETÍLICO EM SOLUÇÃO A 70% (Líquido)</t>
    </r>
    <r>
      <rPr>
        <sz val="10"/>
        <color theme="1"/>
        <rFont val="Arial"/>
        <family val="2"/>
      </rPr>
      <t>. Devem constar na embalagem: data de fabricação, validade, número do lote e registro no Ministério da Saúde.</t>
    </r>
  </si>
  <si>
    <r>
      <rPr>
        <b/>
        <sz val="10"/>
        <color theme="1"/>
        <rFont val="Arial"/>
        <family val="2"/>
      </rPr>
      <t>DESCARTE PARA ABSORVENTE</t>
    </r>
    <r>
      <rPr>
        <sz val="10"/>
        <color theme="1"/>
        <rFont val="Arial"/>
        <family val="2"/>
      </rPr>
      <t>, fabricado em polietileno de alta densidade, 100% virgem, atóxico, cor verde. Dimensões devem ser compatíveis com o dispenser para este item previsto na RELAÇÃO DE EQUIPAMENTOS E UTENSÍLIOS DE LIMPEZA (ANEXO VI).</t>
    </r>
  </si>
  <si>
    <r>
      <rPr>
        <b/>
        <sz val="10"/>
        <color theme="1"/>
        <rFont val="Arial"/>
        <family val="2"/>
      </rPr>
      <t>DESINFETANTE DE USO GERAL</t>
    </r>
    <r>
      <rPr>
        <sz val="10"/>
        <color theme="1"/>
        <rFont val="Arial"/>
        <family val="2"/>
      </rPr>
      <t>, odorizante, concentrado, germicida/bactericida de ação profunda e residual para desinfecção de superfícies laváveis, nas fragrâncias Lavanda, Pinho, Floral ou Eucalipto. Devem constar na embalagem: data de fabricação, validade, número do lote e registro no Ministério da Saúde.</t>
    </r>
  </si>
  <si>
    <r>
      <rPr>
        <b/>
        <sz val="10"/>
        <color theme="1"/>
        <rFont val="Arial"/>
        <family val="2"/>
      </rPr>
      <t xml:space="preserve">DESINFETANTE HOSPITALAR
</t>
    </r>
    <r>
      <rPr>
        <u/>
        <sz val="10"/>
        <color theme="1"/>
        <rFont val="Arial"/>
        <family val="2"/>
      </rPr>
      <t xml:space="preserve">OPÇÃO 1
</t>
    </r>
    <r>
      <rPr>
        <sz val="10"/>
        <color theme="1"/>
        <rFont val="Arial"/>
        <family val="2"/>
      </rPr>
      <t xml:space="preserve">- Princípio Ativo: Quaternário de amônia + Biguanida Polimérica + EDTA. 
- Diluição de uso: 1:250
- pH da solução final: Neutro (6,5 a 7,5)
- Deve possuir Registro no Ministério da Saúde, e apresentar Laudo técnico reblado que comprove a ação bactericida, tuberculocida, virucida e fungicida.
- Deve ser fornecido conjuntamente o sistema de diluição que permita a concentração de 1:250. </t>
    </r>
    <r>
      <rPr>
        <b/>
        <u/>
        <sz val="10"/>
        <color theme="1"/>
        <rFont val="Arial"/>
        <family val="2"/>
      </rPr>
      <t>OU</t>
    </r>
  </si>
  <si>
    <r>
      <rPr>
        <b/>
        <sz val="10"/>
        <color theme="1"/>
        <rFont val="Arial"/>
        <family val="2"/>
      </rPr>
      <t xml:space="preserve">DESINFETANTE HOSPITALAR
</t>
    </r>
    <r>
      <rPr>
        <u/>
        <sz val="10"/>
        <color theme="1"/>
        <rFont val="Arial"/>
        <family val="2"/>
      </rPr>
      <t>OPÇÃO 2</t>
    </r>
    <r>
      <rPr>
        <sz val="10"/>
        <color theme="1"/>
        <rFont val="Arial"/>
        <family val="2"/>
      </rPr>
      <t xml:space="preserve">
- Princípio Ativo: Quaternário de amônia + Biguanida Polimérica. 
- Diluição de uso: 1:200
- pH da solução final: Neutro (6,5 a 7,5)
- Deve possuir Registro no Ministério da Saúde, e apresentar Laudo técnico reblado que comprove a ação bactericida, tuberculocida, virucida e fungicida.
- Deve ser fornecido sistema de diluição que permita a concentração de 1:200. </t>
    </r>
    <r>
      <rPr>
        <b/>
        <u/>
        <sz val="10"/>
        <color theme="1"/>
        <rFont val="Arial"/>
        <family val="2"/>
      </rPr>
      <t>OU</t>
    </r>
  </si>
  <si>
    <t>Rolo</t>
  </si>
  <si>
    <r>
      <rPr>
        <b/>
        <sz val="10"/>
        <color theme="1"/>
        <rFont val="Arial"/>
        <family val="2"/>
      </rPr>
      <t>REFIL DE SABONETE LÍQUIDO CREMOSO, EM GEL</t>
    </r>
    <r>
      <rPr>
        <sz val="10"/>
        <color theme="1"/>
        <rFont val="Arial"/>
        <family val="2"/>
      </rPr>
      <t>, nas fragrâncias Erva-doce ou Floral. Devem constar na embalagem: data de fabricação, validade, número do lote e registro no Ministério da Saúde/ANVISA.</t>
    </r>
  </si>
  <si>
    <r>
      <rPr>
        <b/>
        <sz val="10"/>
        <color theme="1"/>
        <rFont val="Arial"/>
        <family val="2"/>
      </rPr>
      <t>PROTETOR PARA ASSENTO SANITÁRIO</t>
    </r>
    <r>
      <rPr>
        <sz val="10"/>
        <color theme="1"/>
        <rFont val="Arial"/>
        <family val="2"/>
      </rPr>
      <t>, composto por fibras celulósicas 100% naturais, tipo uso descartável, cor branca, macio e resistente virgens. Dimensões devem ser compatíveis com o dispenser deste item da RELAÇÃO DE EQUIPAMENTOS E UTENSÍLIOS DE LIMPEZA (ANEXO VI).</t>
    </r>
  </si>
  <si>
    <r>
      <rPr>
        <b/>
        <sz val="10"/>
        <color theme="1"/>
        <rFont val="Arial"/>
        <family val="2"/>
      </rPr>
      <t>PEDRA SANITÁRIA</t>
    </r>
    <r>
      <rPr>
        <sz val="10"/>
        <color theme="1"/>
        <rFont val="Arial"/>
        <family val="2"/>
      </rPr>
      <t>, fragrância agradável.</t>
    </r>
  </si>
  <si>
    <r>
      <rPr>
        <b/>
        <sz val="10"/>
        <color theme="1"/>
        <rFont val="Arial"/>
        <family val="2"/>
      </rPr>
      <t>SABÃO EM PÓ BIODEGRADÁVEL</t>
    </r>
    <r>
      <rPr>
        <sz val="10"/>
        <color theme="1"/>
        <rFont val="Arial"/>
        <family val="2"/>
      </rPr>
      <t>. Composição: tensoativo, coadjuvante, corantes, carga, e perfume. Devem constar na embalagem: data de fabricação, validade, número do lote e registro no Ministério da Saúde/ANVISA.</t>
    </r>
  </si>
  <si>
    <r>
      <rPr>
        <b/>
        <sz val="10"/>
        <color theme="1"/>
        <rFont val="Arial"/>
        <family val="2"/>
      </rPr>
      <t>SACO DE LIXO AZUL RESISTENTE, CAPACIDADE 100 LITROS</t>
    </r>
    <r>
      <rPr>
        <sz val="10"/>
        <color theme="1"/>
        <rFont val="Arial"/>
        <family val="2"/>
      </rPr>
      <t>. Dimensões aproximadas: 75x90cm/saco 0,05 Micras. Material plástico, gramatura reforçado.</t>
    </r>
  </si>
  <si>
    <r>
      <rPr>
        <b/>
        <sz val="10"/>
        <color theme="1"/>
        <rFont val="Arial"/>
        <family val="2"/>
      </rPr>
      <t>SACO DE LIXO AZUL RESISTENTE, CAPACIDADE 40 LITROS</t>
    </r>
    <r>
      <rPr>
        <sz val="10"/>
        <color theme="1"/>
        <rFont val="Arial"/>
        <family val="2"/>
      </rPr>
      <t>. Dimensões aproximadas: 60x60cm/saco 0,05 Micras. Material plástico, gramatura reforçado.</t>
    </r>
  </si>
  <si>
    <r>
      <rPr>
        <b/>
        <sz val="10"/>
        <color theme="1"/>
        <rFont val="Arial"/>
        <family val="2"/>
      </rPr>
      <t>SACO DE LIXO AZUL RESISTENTE, CAPACIDADE 60 LITROS</t>
    </r>
    <r>
      <rPr>
        <sz val="10"/>
        <color theme="1"/>
        <rFont val="Arial"/>
        <family val="2"/>
      </rPr>
      <t>. Dimensões aproximadas: 60x75cm/saco 0,05 Micras. Material plástico, gramatura reforçado.</t>
    </r>
  </si>
  <si>
    <r>
      <rPr>
        <b/>
        <sz val="10"/>
        <color theme="1"/>
        <rFont val="Arial"/>
        <family val="2"/>
      </rPr>
      <t>SACO DE LIXO PRETO RESISTENTE, CAPACIDADE 40 LITROS</t>
    </r>
    <r>
      <rPr>
        <sz val="10"/>
        <color theme="1"/>
        <rFont val="Arial"/>
        <family val="2"/>
      </rPr>
      <t>. Dimensões aproximadas: 60x60cm/saco 0,05 Micras.  Material plástico, gramatura reforçado.</t>
    </r>
  </si>
  <si>
    <r>
      <rPr>
        <b/>
        <sz val="10"/>
        <color theme="1"/>
        <rFont val="Arial"/>
        <family val="2"/>
      </rPr>
      <t>SACO DE LIXO PRETO RESISTENTE, CAPACIDADE 60 LITROS</t>
    </r>
    <r>
      <rPr>
        <sz val="10"/>
        <color theme="1"/>
        <rFont val="Arial"/>
        <family val="2"/>
      </rPr>
      <t>. Dimensões aproximadas: 60x75cm/saco 0,05 Micras.  Material plástico, gramatura reforçado.</t>
    </r>
  </si>
  <si>
    <r>
      <rPr>
        <b/>
        <sz val="10"/>
        <color theme="1"/>
        <rFont val="Arial"/>
        <family val="2"/>
      </rPr>
      <t>SACO PARA LIXO PRETO RESISTENTE, CAPACIDADE 100 LITROS</t>
    </r>
    <r>
      <rPr>
        <sz val="10"/>
        <color theme="1"/>
        <rFont val="Arial"/>
        <family val="2"/>
      </rPr>
      <t>. Dimensões aproximadas: 75x90cm/saco 0,05 Micras. Material plástico, gramatura reforçado.</t>
    </r>
  </si>
  <si>
    <r>
      <rPr>
        <b/>
        <sz val="10"/>
        <color theme="1"/>
        <rFont val="Arial"/>
        <family val="2"/>
      </rPr>
      <t>TELA DESODORIZANTE PARA MICTÓRIO CONFECCIONADO EM PVC INJETADO</t>
    </r>
    <r>
      <rPr>
        <sz val="10"/>
        <color theme="1"/>
        <rFont val="Arial"/>
        <family val="2"/>
      </rPr>
      <t>, fórmula com essência hiperconcentrada contendo bactericida, na fragrância Floral ou Lavanda. Autorizada pelo Ministério da Saúde/ANVISA.</t>
    </r>
  </si>
  <si>
    <t>FRASCO APLICADOR DE LÍQUIDOS TIPO ALMOTOLIA BICO RETO OU CURVO 500 mL</t>
  </si>
  <si>
    <r>
      <rPr>
        <b/>
        <sz val="10"/>
        <color theme="1"/>
        <rFont val="Arial"/>
        <family val="2"/>
      </rPr>
      <t>PAPEL TOALHA, INTERFOLHAS, NA COR BRANCA</t>
    </r>
    <r>
      <rPr>
        <sz val="10"/>
        <color theme="1"/>
        <rFont val="Arial"/>
        <family val="2"/>
      </rPr>
      <t>, 100% celulose fibras virgens, resistente, de rápida absorção, macio e de primeira qualidade, medindo 21x23cm.</t>
    </r>
  </si>
  <si>
    <r>
      <rPr>
        <b/>
        <sz val="10"/>
        <color theme="1"/>
        <rFont val="Arial"/>
        <family val="2"/>
      </rPr>
      <t>PAPEL HIGIÊNICO ROLO GRANDE FOLHA DUPLA</t>
    </r>
    <r>
      <rPr>
        <sz val="10"/>
        <color theme="1"/>
        <rFont val="Arial"/>
        <family val="2"/>
      </rPr>
      <t>, extra luxo, 100% celulose virgem, sem amparas ou papel reciclado. Dimensões: 300m de comprimento e 10 cm de largura (Rolão).</t>
    </r>
  </si>
  <si>
    <r>
      <rPr>
        <b/>
        <sz val="10"/>
        <color theme="1"/>
        <rFont val="Arial"/>
        <family val="2"/>
      </rPr>
      <t>PANO DE LIMPEZA MULTIUSO ROLO</t>
    </r>
    <r>
      <rPr>
        <sz val="10"/>
        <color theme="1"/>
        <rFont val="Arial"/>
        <family val="2"/>
      </rPr>
      <t>, Composição 70% viscose 30% poliéster, gramatura 40g/m2, tamanho 30 cm x 300 m picotado a cada 50 cm, cor azul, verde ou branca.</t>
    </r>
  </si>
  <si>
    <r>
      <rPr>
        <b/>
        <sz val="10"/>
        <color theme="1"/>
        <rFont val="Arial"/>
        <family val="2"/>
      </rPr>
      <t>PANO DE LIMPEZA MULTIUSO</t>
    </r>
    <r>
      <rPr>
        <sz val="10"/>
        <color theme="1"/>
        <rFont val="Arial"/>
        <family val="2"/>
      </rPr>
      <t>, 100% fibras viscose, látex sintético, corante bacteriostático (Triclosan) e fragrância. Dimensões aproximadas: 60x33cm.</t>
    </r>
  </si>
  <si>
    <r>
      <rPr>
        <b/>
        <sz val="10"/>
        <color theme="1"/>
        <rFont val="Arial"/>
        <family val="2"/>
      </rPr>
      <t>PANO DE CHÃO BRANCO</t>
    </r>
    <r>
      <rPr>
        <sz val="10"/>
        <color theme="1"/>
        <rFont val="Arial"/>
        <family val="2"/>
      </rPr>
      <t>. Saco com fibras de algodão sem inscrições, alvejado. Medidas aproximadas: 70x45 cm.</t>
    </r>
  </si>
  <si>
    <r>
      <rPr>
        <b/>
        <sz val="10"/>
        <color theme="1"/>
        <rFont val="Arial"/>
        <family val="2"/>
      </rPr>
      <t>LUVA LATÉX M</t>
    </r>
    <r>
      <rPr>
        <sz val="10"/>
        <color theme="1"/>
        <rFont val="Arial"/>
        <family val="2"/>
      </rPr>
      <t xml:space="preserve"> (luva para procedimentos)</t>
    </r>
  </si>
  <si>
    <r>
      <rPr>
        <b/>
        <sz val="10"/>
        <color theme="1"/>
        <rFont val="Arial"/>
        <family val="2"/>
      </rPr>
      <t>LUVA LATÉX G</t>
    </r>
    <r>
      <rPr>
        <sz val="10"/>
        <color theme="1"/>
        <rFont val="Arial"/>
        <family val="2"/>
      </rPr>
      <t xml:space="preserve"> (luva para procedimentos)</t>
    </r>
  </si>
  <si>
    <r>
      <rPr>
        <b/>
        <sz val="10"/>
        <color theme="1"/>
        <rFont val="Arial"/>
        <family val="2"/>
      </rPr>
      <t>LIMPADOR MULTIUSO PARA LIMPEZA DE SUPERFÍCIES LAVÁVEIS</t>
    </r>
    <r>
      <rPr>
        <sz val="10"/>
        <color theme="1"/>
        <rFont val="Arial"/>
        <family val="2"/>
      </rPr>
      <t>.  Devem constar na embalagem: data de fabricação, validade, número do lote e registro no Ministério da Saúde/ANVISA.</t>
    </r>
  </si>
  <si>
    <r>
      <rPr>
        <b/>
        <sz val="10"/>
        <color theme="1"/>
        <rFont val="Arial"/>
        <family val="2"/>
      </rPr>
      <t>LIMPA VIDROS LÍQUIDO</t>
    </r>
    <r>
      <rPr>
        <sz val="10"/>
        <color theme="1"/>
        <rFont val="Arial"/>
        <family val="2"/>
      </rPr>
      <t>, embalagem com pulverizador. Devem constar na embalagem: data de fabricação, validade, número do lote e registro no Ministério da Saúde/ANVISA.</t>
    </r>
  </si>
  <si>
    <r>
      <rPr>
        <b/>
        <sz val="10"/>
        <color theme="1"/>
        <rFont val="Arial"/>
        <family val="2"/>
      </rPr>
      <t>LIMPA LIMO</t>
    </r>
    <r>
      <rPr>
        <sz val="10"/>
        <color theme="1"/>
        <rFont val="Arial"/>
        <family val="2"/>
      </rPr>
      <t>, com ação germicida, para remover manchas, limo, sujeira, lodo, germes e mofo.</t>
    </r>
  </si>
  <si>
    <r>
      <rPr>
        <b/>
        <sz val="10"/>
        <color theme="1"/>
        <rFont val="Arial"/>
        <family val="2"/>
      </rPr>
      <t xml:space="preserve">DESINFETANTE HOSPITALAR
</t>
    </r>
    <r>
      <rPr>
        <u/>
        <sz val="10"/>
        <color theme="1"/>
        <rFont val="Arial"/>
        <family val="2"/>
      </rPr>
      <t xml:space="preserve">OPÇÃO 3
</t>
    </r>
    <r>
      <rPr>
        <sz val="10"/>
        <color theme="1"/>
        <rFont val="Arial"/>
        <family val="2"/>
      </rPr>
      <t>- Princípio ativo: Quaternário de amônia + Peróxido de Hidrogênio.
- Diluição de uso: 1:100
- pH da solução final: Neutro (6,5 a 7,5)
- Deve possuir Registro no Ministério da Saúde, e apresentar Laudo técnico reblado que comprove a ação bactericida, tuberculocida, virucida e fungicida.
- Deve ser fornecido sistema de diluição que permita a concentração de 1:100.</t>
    </r>
  </si>
  <si>
    <r>
      <t xml:space="preserve">AROMATIZANTE </t>
    </r>
    <r>
      <rPr>
        <sz val="10"/>
        <color theme="1"/>
        <rFont val="Arial"/>
        <family val="2"/>
      </rPr>
      <t>AMBIENTAL, aspecto físico líquido, aroma agradável, apresentação concentrado.</t>
    </r>
  </si>
  <si>
    <t>Par de Luvas malha 4 fios pigmentada
(apenas para 04 (quatro) postos designados para limpeza em área fria em B01 e B05). Ratear o valor de custo do equipamento para estes profissionais pelo total de serventes de limpeza do contrato.</t>
  </si>
  <si>
    <t>Japona térmica impermeável para câmara fria, cor azul marinho, em tecido 100% poliamida com resina, forrada com manta térmica e acolchoada, possui capuz conjugado, fechamento frontal até o pescoço através de velcro alinhado por botão guia e barra lisa, para temperaturas até 2ºC.
(apenas para 04 (quatro) postos designados para limpeza em área fria em B01 e B05). Ratear o valor de custo do equipamento para estes profissionais pelo total de serventes de limpeza do contrato.</t>
  </si>
  <si>
    <t>Calça para baixa temperatura até 2ºC, confeccionada em tecido 100% poliamida com resina, forrada com manta térmica acolchoada, bolsos embutidos nas laterais, cor azul marinho, para utilizar em câmaras frigoríficas.
(apenas para 04 (quatro) postos designados para limpeza em área fria em B01 e B05). Ratear o valor de custo do equipamento para estes profissionais pelo total de serventes de limpeza do contrato.</t>
  </si>
  <si>
    <t>Touca tipo balaclava, material malha tecida, cor branca, aplicação EPI, com abertura facial.
(apenas para 04 (quatro) postos designados para limpeza em área fria em B01 e B05). Ratear o valor de custo do equipamento para estes profissionais pelo total de serventes de limpeza do contrato.</t>
  </si>
  <si>
    <t>Par de Luvas de nylon para baixas temperatura (2ºC), confeccionada em nylon resinado forrada internamente com manta de aconchego sintética.
(apenas para 04 (quatro) postos designados para limpeza em área fria em B01 e B05). Ratear o valor de custo do equipamento para estes profissionais pelo total de serventes de limpeza do contrato.</t>
  </si>
  <si>
    <t>Par de Meias térmicas
(apenas para 04 (quatro) postos designados para limpeza em área fria em B01 e B05). Ratear o valor de custo do equipamento para estes profissionais pelo total de serventes de limpeza do contrato.</t>
  </si>
  <si>
    <t>Cinto de segurança tipo paraquedista com talabarte duplo em Y e travaquedas (apenas para 01 (um) profissional que executar a atividade de risco em altura). Ratear o valor de custo do equipamento para este profissional pelo total de serventes de limpeza do contrato.</t>
  </si>
  <si>
    <t>Capacetes brancos para obra, com jugular</t>
  </si>
  <si>
    <t>ANEXO VI</t>
  </si>
  <si>
    <t>RODO INDUSTRIAL COM 35 CM DE COMPRIMENTO, confeccionado em alumínio e polipropileno, com borracha dupla de nylon de grande resistência que não marca piso, encaixe para cabo de alumínio e cabo na altura mínima de 1,50 m.</t>
  </si>
  <si>
    <r>
      <t>EXTENSÃO ELÉTRICA, TIPO CABO PP PLANO, comprimento 40 m, componentes 3 tomadas fêmeas e plugue terra, seção nominal 2,5 mm</t>
    </r>
    <r>
      <rPr>
        <vertAlign val="superscript"/>
        <sz val="10"/>
        <color rgb="FF000000"/>
        <rFont val="Arial"/>
        <family val="2"/>
      </rPr>
      <t>2</t>
    </r>
    <r>
      <rPr>
        <sz val="10"/>
        <color rgb="FF000000"/>
        <rFont val="Arial"/>
        <family val="2"/>
      </rPr>
      <t>.</t>
    </r>
  </si>
  <si>
    <r>
      <t xml:space="preserve">Valor do ANEXO III - (Gasto anual de materiais e produtos </t>
    </r>
    <r>
      <rPr>
        <sz val="10"/>
        <color theme="1"/>
        <rFont val="Calibri"/>
        <family val="2"/>
      </rPr>
      <t>÷</t>
    </r>
    <r>
      <rPr>
        <i/>
        <sz val="10"/>
        <color theme="1"/>
        <rFont val="Arial"/>
        <family val="2"/>
      </rPr>
      <t xml:space="preserve"> Meses do contrato) </t>
    </r>
    <r>
      <rPr>
        <sz val="10"/>
        <color theme="1"/>
        <rFont val="Calibri"/>
        <family val="2"/>
      </rPr>
      <t>÷</t>
    </r>
    <r>
      <rPr>
        <i/>
        <sz val="10"/>
        <color theme="1"/>
        <rFont val="Arial"/>
        <family val="2"/>
      </rPr>
      <t xml:space="preserve"> Quantidade de funcionários</t>
    </r>
  </si>
  <si>
    <r>
      <t xml:space="preserve">Valor do ANEXO IV - (Custo dos equipamentos </t>
    </r>
    <r>
      <rPr>
        <sz val="10"/>
        <color theme="1"/>
        <rFont val="Calibri"/>
        <family val="2"/>
      </rPr>
      <t>÷</t>
    </r>
    <r>
      <rPr>
        <i/>
        <sz val="10"/>
        <color theme="1"/>
        <rFont val="Arial"/>
        <family val="2"/>
      </rPr>
      <t xml:space="preserve"> Vida útil em meses) </t>
    </r>
    <r>
      <rPr>
        <sz val="10"/>
        <color theme="1"/>
        <rFont val="Calibri"/>
        <family val="2"/>
      </rPr>
      <t>÷</t>
    </r>
    <r>
      <rPr>
        <i/>
        <sz val="10"/>
        <color theme="1"/>
        <rFont val="Arial"/>
        <family val="2"/>
      </rPr>
      <t xml:space="preserve"> Quantidade de funcionários   Obs.: Calcular separado, caso exista equipamentos com vida útil diferente</t>
    </r>
  </si>
  <si>
    <r>
      <t xml:space="preserve">Valor do ANEXO VI - Valor mensal do uniforme = (Valor anual do uniforme x Número de mudas do período contratual) </t>
    </r>
    <r>
      <rPr>
        <sz val="10"/>
        <color theme="1"/>
        <rFont val="Calibri"/>
        <family val="2"/>
      </rPr>
      <t>÷</t>
    </r>
    <r>
      <rPr>
        <i/>
        <sz val="10"/>
        <color theme="1"/>
        <rFont val="Arial"/>
        <family val="2"/>
      </rPr>
      <t xml:space="preserve"> Meses do ano  /  Perdas = Valor mensal do uniforme x Percentual de perda  /  Total = Valor mensal do uniforme + Perdas</t>
    </r>
  </si>
  <si>
    <t>(Módulo 1 + Módulo 2 + Módulo 3 + Módulo 4 + Módulo 5) x Média praticada pelas empresas do setor</t>
  </si>
  <si>
    <t xml:space="preserve">(Módulo 1 + Módulo 2 + Módulo 3 + Módulo 4 + Módulo 5) x Média praticada pelas empresas do setor  </t>
  </si>
  <si>
    <t>Nota 2: Na composição do valor por empregado dos insumos listados nos itens B (Materiais) e C (Equipamentos), o valor deve ser rateado entre o total de postos de serviço de limpeza.</t>
  </si>
  <si>
    <t>FRASCO PULVERIZADOR DE LÍQUIDO 500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</si>
</sst>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F800]dddd\,\ mmmm\ dd\,\ yyyy"/>
    <numFmt numFmtId="165" formatCode="h:mm;@"/>
    <numFmt numFmtId="166" formatCode="\1&quot;/&quot;0"/>
    <numFmt numFmtId="167" formatCode="\1&quot;/&quot;000.00"/>
    <numFmt numFmtId="168" formatCode="&quot;R$&quot;\ #,##0.00"/>
  </numFmts>
  <fonts count="38" x14ac:knownFonts="1">
    <font>
      <sz val="11"/>
      <color theme="1"/>
      <name val="Calibri"/>
      <family val="2"/>
      <scheme val="minor"/>
    </font>
    <font>
      <sz val="10"/>
      <color theme="1"/>
      <name val="Calibri"/>
      <family val="2"/>
      <scheme val="minor"/>
    </font>
    <font>
      <sz val="11"/>
      <color theme="1"/>
      <name val="Calibri"/>
      <family val="2"/>
      <scheme val="minor"/>
    </font>
    <font>
      <sz val="10"/>
      <color theme="1"/>
      <name val="Arial"/>
      <family val="2"/>
    </font>
    <font>
      <b/>
      <sz val="10"/>
      <color theme="1"/>
      <name val="Arial"/>
      <family val="2"/>
    </font>
    <font>
      <b/>
      <sz val="10"/>
      <name val="Arial"/>
      <family val="2"/>
    </font>
    <font>
      <sz val="10"/>
      <color theme="1"/>
      <name val="Times New Roman"/>
      <family val="1"/>
    </font>
    <font>
      <strike/>
      <sz val="10"/>
      <color theme="1"/>
      <name val="Arial"/>
      <family val="2"/>
    </font>
    <font>
      <vertAlign val="superscript"/>
      <sz val="10"/>
      <color theme="1"/>
      <name val="Arial"/>
      <family val="2"/>
    </font>
    <font>
      <b/>
      <sz val="10"/>
      <color rgb="FF000000"/>
      <name val="Arial"/>
      <family val="2"/>
    </font>
    <font>
      <i/>
      <sz val="10"/>
      <color theme="1"/>
      <name val="Arial"/>
      <family val="2"/>
    </font>
    <font>
      <sz val="10"/>
      <name val="Arial"/>
      <family val="2"/>
    </font>
    <font>
      <sz val="10"/>
      <color theme="1"/>
      <name val="Calibri"/>
      <family val="2"/>
    </font>
    <font>
      <i/>
      <sz val="10"/>
      <color theme="1"/>
      <name val="Calibri"/>
      <family val="2"/>
    </font>
    <font>
      <sz val="10"/>
      <color theme="1"/>
      <name val="Calibri"/>
      <family val="2"/>
      <scheme val="minor"/>
    </font>
    <font>
      <i/>
      <sz val="10"/>
      <color theme="1"/>
      <name val="Calibri"/>
      <family val="2"/>
      <scheme val="minor"/>
    </font>
    <font>
      <b/>
      <sz val="10"/>
      <color theme="0"/>
      <name val="Arial"/>
      <family val="2"/>
    </font>
    <font>
      <b/>
      <sz val="10"/>
      <color rgb="FFFF0000"/>
      <name val="Arial"/>
      <family val="2"/>
    </font>
    <font>
      <b/>
      <i/>
      <sz val="10"/>
      <color rgb="FFFF0000"/>
      <name val="Calibri"/>
      <family val="2"/>
      <scheme val="minor"/>
    </font>
    <font>
      <b/>
      <sz val="10"/>
      <color rgb="FFFF0000"/>
      <name val="Calibri"/>
      <family val="2"/>
      <scheme val="minor"/>
    </font>
    <font>
      <sz val="10"/>
      <name val="Calibri"/>
      <family val="2"/>
      <scheme val="minor"/>
    </font>
    <font>
      <sz val="11"/>
      <name val="Calibri"/>
      <family val="2"/>
    </font>
    <font>
      <sz val="10"/>
      <color rgb="FF000000"/>
      <name val="Times New Roman"/>
      <family val="1"/>
    </font>
    <font>
      <sz val="11"/>
      <name val="Calibri"/>
      <family val="2"/>
    </font>
    <font>
      <sz val="11"/>
      <color theme="1"/>
      <name val="Arial"/>
      <family val="2"/>
    </font>
    <font>
      <b/>
      <sz val="9"/>
      <color rgb="FF000000"/>
      <name val="Times New Roman"/>
      <family val="1"/>
    </font>
    <font>
      <sz val="9"/>
      <color rgb="FF000000"/>
      <name val="Times New Roman"/>
      <family val="1"/>
    </font>
    <font>
      <b/>
      <sz val="12"/>
      <color rgb="FF000000"/>
      <name val="Times New Roman"/>
      <family val="1"/>
    </font>
    <font>
      <sz val="11"/>
      <color theme="1"/>
      <name val="Times New Roman"/>
      <family val="1"/>
    </font>
    <font>
      <b/>
      <sz val="11"/>
      <color theme="1"/>
      <name val="Times New Roman"/>
      <family val="1"/>
    </font>
    <font>
      <b/>
      <sz val="10"/>
      <color theme="1"/>
      <name val="Times New Roman"/>
      <family val="1"/>
    </font>
    <font>
      <b/>
      <sz val="10"/>
      <color rgb="FF000000"/>
      <name val="Times New Roman"/>
      <family val="1"/>
    </font>
    <font>
      <b/>
      <sz val="11"/>
      <color theme="1"/>
      <name val="Calibri"/>
      <family val="2"/>
      <scheme val="minor"/>
    </font>
    <font>
      <sz val="10"/>
      <color rgb="FF000000"/>
      <name val="Arial"/>
      <family val="2"/>
    </font>
    <font>
      <sz val="10"/>
      <color rgb="FF000000"/>
      <name val="Calibri"/>
      <family val="2"/>
    </font>
    <font>
      <u/>
      <sz val="10"/>
      <color theme="1"/>
      <name val="Arial"/>
      <family val="2"/>
    </font>
    <font>
      <b/>
      <u/>
      <sz val="10"/>
      <color theme="1"/>
      <name val="Arial"/>
      <family val="2"/>
    </font>
    <font>
      <vertAlign val="superscript"/>
      <sz val="10"/>
      <color rgb="FF000000"/>
      <name val="Arial"/>
      <family val="2"/>
    </font>
  </fonts>
  <fills count="11">
    <fill>
      <patternFill patternType="none"/>
    </fill>
    <fill>
      <patternFill patternType="gray125"/>
    </fill>
    <fill>
      <patternFill patternType="solid">
        <fgColor rgb="FFBFBFBF"/>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
      <patternFill patternType="solid">
        <fgColor rgb="FFD9D9D9"/>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right style="medium">
        <color indexed="64"/>
      </right>
      <top style="medium">
        <color indexed="64"/>
      </top>
      <bottom/>
      <diagonal/>
    </border>
  </borders>
  <cellStyleXfs count="12">
    <xf numFmtId="0" fontId="0" fillId="0" borderId="0"/>
    <xf numFmtId="44" fontId="2" fillId="0" borderId="0" applyFont="0" applyFill="0" applyBorder="0" applyAlignment="0" applyProtection="0"/>
    <xf numFmtId="9" fontId="2" fillId="0" borderId="0" applyFont="0" applyFill="0" applyBorder="0" applyAlignment="0" applyProtection="0"/>
    <xf numFmtId="0" fontId="3" fillId="0" borderId="1" applyNumberFormat="0" applyFill="0" applyBorder="0" applyAlignment="0" applyProtection="0">
      <alignment vertical="center" wrapText="1"/>
    </xf>
    <xf numFmtId="43" fontId="2" fillId="0" borderId="0" applyFont="0" applyFill="0" applyBorder="0" applyAlignment="0" applyProtection="0"/>
    <xf numFmtId="0" fontId="16" fillId="0" borderId="0" applyNumberFormat="0" applyAlignment="0" applyProtection="0">
      <alignment horizontal="center" vertical="top" wrapText="1"/>
    </xf>
    <xf numFmtId="0" fontId="21" fillId="0" borderId="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23" fillId="0" borderId="0"/>
  </cellStyleXfs>
  <cellXfs count="363">
    <xf numFmtId="0" fontId="0" fillId="0" borderId="0" xfId="0"/>
    <xf numFmtId="0" fontId="5" fillId="0" borderId="0" xfId="0" applyFont="1" applyAlignment="1">
      <alignment horizontal="center" vertical="center"/>
    </xf>
    <xf numFmtId="0" fontId="3" fillId="0" borderId="0" xfId="0" applyFont="1" applyAlignment="1">
      <alignment horizontal="justify" vertical="center"/>
    </xf>
    <xf numFmtId="0" fontId="4" fillId="0" borderId="0" xfId="0" applyFont="1" applyAlignment="1">
      <alignment horizontal="justify" vertical="center"/>
    </xf>
    <xf numFmtId="0" fontId="3" fillId="0" borderId="0" xfId="0" applyFont="1" applyBorder="1" applyAlignment="1">
      <alignment horizontal="justify" vertical="center" wrapText="1"/>
    </xf>
    <xf numFmtId="0" fontId="4" fillId="0" borderId="0" xfId="0" applyFont="1" applyAlignment="1">
      <alignment horizontal="left" vertical="center"/>
    </xf>
    <xf numFmtId="0" fontId="4" fillId="0" borderId="0" xfId="0" applyFont="1" applyAlignment="1">
      <alignment vertical="center"/>
    </xf>
    <xf numFmtId="0" fontId="0" fillId="0" borderId="0" xfId="0" applyAlignment="1">
      <alignment wrapText="1"/>
    </xf>
    <xf numFmtId="0" fontId="4" fillId="2" borderId="1" xfId="0" applyFont="1" applyFill="1" applyBorder="1" applyAlignment="1">
      <alignment horizontal="center" vertical="top" wrapText="1"/>
    </xf>
    <xf numFmtId="44" fontId="3" fillId="0" borderId="1" xfId="1" applyFont="1" applyBorder="1" applyAlignment="1">
      <alignment horizontal="center" vertical="center" wrapText="1"/>
    </xf>
    <xf numFmtId="0" fontId="3" fillId="0" borderId="1" xfId="0" applyFont="1" applyBorder="1" applyAlignment="1">
      <alignment vertical="center" wrapText="1"/>
    </xf>
    <xf numFmtId="0" fontId="0" fillId="0" borderId="0" xfId="0" applyAlignment="1">
      <alignment horizontal="center" vertical="top" wrapText="1"/>
    </xf>
    <xf numFmtId="0" fontId="0" fillId="0" borderId="0" xfId="0" applyAlignment="1">
      <alignment horizontal="justify" vertical="top" wrapText="1"/>
    </xf>
    <xf numFmtId="49" fontId="4" fillId="3" borderId="1" xfId="0" applyNumberFormat="1"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horizontal="justify" vertical="center"/>
    </xf>
    <xf numFmtId="0" fontId="4" fillId="0" borderId="0" xfId="0" applyFont="1" applyFill="1" applyBorder="1" applyAlignment="1">
      <alignment horizontal="left" vertical="center"/>
    </xf>
    <xf numFmtId="0" fontId="3" fillId="0" borderId="0" xfId="0" applyFont="1" applyFill="1" applyBorder="1" applyAlignment="1">
      <alignment horizontal="justify" vertical="center" wrapText="1"/>
    </xf>
    <xf numFmtId="0" fontId="4" fillId="0" borderId="0" xfId="0" applyFont="1" applyFill="1" applyBorder="1" applyAlignment="1">
      <alignment horizontal="justify" vertical="center"/>
    </xf>
    <xf numFmtId="0" fontId="4" fillId="0" borderId="0" xfId="0" applyFont="1" applyFill="1" applyBorder="1" applyAlignment="1">
      <alignment vertical="center"/>
    </xf>
    <xf numFmtId="0" fontId="3" fillId="4" borderId="1" xfId="0" applyFont="1" applyFill="1" applyBorder="1" applyAlignment="1">
      <alignment horizontal="justify" vertical="center" wrapText="1"/>
    </xf>
    <xf numFmtId="0" fontId="3" fillId="0" borderId="0" xfId="0" applyFont="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1" xfId="0" applyFont="1" applyFill="1" applyBorder="1" applyAlignment="1">
      <alignment vertical="center"/>
    </xf>
    <xf numFmtId="0" fontId="4" fillId="3" borderId="1" xfId="0" applyFont="1" applyFill="1" applyBorder="1" applyAlignment="1">
      <alignment vertical="center" wrapText="1"/>
    </xf>
    <xf numFmtId="0" fontId="3" fillId="3" borderId="1" xfId="0" applyFont="1" applyFill="1" applyBorder="1" applyAlignment="1">
      <alignment horizontal="justify" vertical="center" wrapText="1"/>
    </xf>
    <xf numFmtId="10" fontId="3" fillId="0" borderId="1" xfId="0" applyNumberFormat="1"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6" fillId="3" borderId="1" xfId="0" applyFont="1" applyFill="1" applyBorder="1" applyAlignment="1">
      <alignment vertical="top" wrapText="1"/>
    </xf>
    <xf numFmtId="44" fontId="3" fillId="0" borderId="1" xfId="1" applyFont="1" applyBorder="1" applyAlignment="1">
      <alignment vertical="center" wrapText="1"/>
    </xf>
    <xf numFmtId="44" fontId="3" fillId="0" borderId="1" xfId="1" applyFont="1" applyBorder="1" applyAlignment="1">
      <alignment horizontal="justify" vertical="center" wrapText="1"/>
    </xf>
    <xf numFmtId="44" fontId="3" fillId="3" borderId="1" xfId="1" applyFont="1" applyFill="1" applyBorder="1" applyAlignment="1">
      <alignment horizontal="justify" vertical="center" wrapText="1"/>
    </xf>
    <xf numFmtId="9" fontId="3" fillId="0" borderId="1" xfId="0" applyNumberFormat="1" applyFont="1" applyBorder="1" applyAlignment="1">
      <alignment vertical="center" wrapText="1"/>
    </xf>
    <xf numFmtId="44" fontId="3" fillId="0" borderId="1" xfId="0" applyNumberFormat="1" applyFont="1" applyBorder="1" applyAlignment="1">
      <alignment horizontal="justify" vertical="center" wrapText="1"/>
    </xf>
    <xf numFmtId="44" fontId="3" fillId="3" borderId="1" xfId="0" applyNumberFormat="1" applyFont="1" applyFill="1" applyBorder="1" applyAlignment="1">
      <alignment horizontal="justify" vertical="center" wrapText="1"/>
    </xf>
    <xf numFmtId="0" fontId="3" fillId="0" borderId="0" xfId="0" applyFont="1" applyFill="1" applyBorder="1" applyAlignment="1">
      <alignment horizontal="left" vertical="center"/>
    </xf>
    <xf numFmtId="44" fontId="3" fillId="0" borderId="5" xfId="1" applyFont="1" applyBorder="1" applyAlignment="1">
      <alignment horizontal="justify"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10" fontId="3" fillId="0" borderId="1" xfId="2" applyNumberFormat="1" applyFont="1" applyBorder="1"/>
    <xf numFmtId="0" fontId="10" fillId="0" borderId="0" xfId="0" applyFont="1" applyFill="1" applyBorder="1" applyAlignment="1">
      <alignment horizontal="left" vertical="center"/>
    </xf>
    <xf numFmtId="44" fontId="10" fillId="0" borderId="0" xfId="0" applyNumberFormat="1" applyFont="1" applyFill="1" applyBorder="1" applyAlignment="1">
      <alignment horizontal="left" vertical="center"/>
    </xf>
    <xf numFmtId="0" fontId="10"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44" fontId="3" fillId="0" borderId="1" xfId="1" applyFont="1" applyFill="1" applyBorder="1" applyAlignment="1">
      <alignment horizontal="center" vertical="center" wrapText="1"/>
    </xf>
    <xf numFmtId="44" fontId="4" fillId="4" borderId="1" xfId="1" applyFont="1" applyFill="1" applyBorder="1" applyAlignment="1">
      <alignment vertical="center" wrapText="1"/>
    </xf>
    <xf numFmtId="0" fontId="10" fillId="0" borderId="1" xfId="0" applyFont="1" applyFill="1" applyBorder="1" applyAlignment="1">
      <alignment horizontal="left" vertical="center"/>
    </xf>
    <xf numFmtId="44" fontId="3" fillId="3" borderId="1" xfId="1" applyFont="1" applyFill="1" applyBorder="1" applyAlignment="1">
      <alignment horizontal="center" vertical="center" wrapText="1"/>
    </xf>
    <xf numFmtId="0" fontId="10" fillId="0" borderId="1" xfId="0" applyFont="1" applyBorder="1" applyAlignment="1">
      <alignment horizontal="center" vertical="center" wrapText="1"/>
    </xf>
    <xf numFmtId="0" fontId="4" fillId="0" borderId="0" xfId="0" applyFont="1" applyFill="1" applyAlignment="1">
      <alignment horizontal="left" vertical="center"/>
    </xf>
    <xf numFmtId="0" fontId="14" fillId="0" borderId="0" xfId="0" applyFont="1"/>
    <xf numFmtId="0" fontId="15" fillId="0" borderId="0" xfId="0" applyFont="1"/>
    <xf numFmtId="44" fontId="3" fillId="0" borderId="1" xfId="0" applyNumberFormat="1" applyFont="1" applyBorder="1" applyAlignment="1">
      <alignment vertical="center" wrapText="1"/>
    </xf>
    <xf numFmtId="44" fontId="4" fillId="4" borderId="1" xfId="0" applyNumberFormat="1" applyFont="1" applyFill="1" applyBorder="1" applyAlignment="1">
      <alignment vertical="center" wrapText="1"/>
    </xf>
    <xf numFmtId="44" fontId="4" fillId="0" borderId="0" xfId="0" applyNumberFormat="1" applyFont="1" applyAlignment="1">
      <alignment horizontal="justify" vertical="center"/>
    </xf>
    <xf numFmtId="44" fontId="4" fillId="0" borderId="0" xfId="4" applyNumberFormat="1" applyFont="1" applyAlignment="1">
      <alignment horizontal="justify" vertical="center"/>
    </xf>
    <xf numFmtId="44" fontId="3" fillId="0" borderId="1" xfId="0" applyNumberFormat="1" applyFont="1" applyFill="1" applyBorder="1" applyAlignment="1">
      <alignment horizontal="center" vertical="center" wrapText="1"/>
    </xf>
    <xf numFmtId="44" fontId="4" fillId="3" borderId="1" xfId="1" applyFont="1" applyFill="1" applyBorder="1" applyAlignment="1">
      <alignment horizontal="center" vertical="center" wrapText="1"/>
    </xf>
    <xf numFmtId="0" fontId="4" fillId="3" borderId="3" xfId="0" applyFont="1" applyFill="1" applyBorder="1" applyAlignment="1">
      <alignment vertical="center" wrapText="1"/>
    </xf>
    <xf numFmtId="0" fontId="4" fillId="3" borderId="4" xfId="0" applyFont="1" applyFill="1" applyBorder="1" applyAlignment="1">
      <alignment vertical="center" wrapText="1"/>
    </xf>
    <xf numFmtId="44" fontId="3" fillId="0" borderId="1" xfId="0" applyNumberFormat="1" applyFont="1" applyFill="1" applyBorder="1" applyAlignment="1">
      <alignment vertical="center" wrapText="1"/>
    </xf>
    <xf numFmtId="44" fontId="3" fillId="0" borderId="10" xfId="0" applyNumberFormat="1" applyFont="1" applyFill="1" applyBorder="1" applyAlignment="1">
      <alignment vertical="center" wrapText="1"/>
    </xf>
    <xf numFmtId="44" fontId="3" fillId="3" borderId="5" xfId="0" applyNumberFormat="1" applyFont="1" applyFill="1" applyBorder="1" applyAlignment="1">
      <alignment horizontal="justify" vertical="center" wrapText="1"/>
    </xf>
    <xf numFmtId="167" fontId="3" fillId="0" borderId="3" xfId="0" applyNumberFormat="1" applyFont="1" applyFill="1" applyBorder="1" applyAlignment="1">
      <alignment horizontal="center" vertical="center" wrapText="1"/>
    </xf>
    <xf numFmtId="0" fontId="4" fillId="3" borderId="3" xfId="0" applyFont="1" applyFill="1" applyBorder="1" applyAlignment="1">
      <alignment vertical="top" wrapText="1"/>
    </xf>
    <xf numFmtId="0" fontId="4" fillId="3" borderId="4" xfId="0" applyFont="1" applyFill="1" applyBorder="1" applyAlignment="1">
      <alignment vertical="top" wrapText="1"/>
    </xf>
    <xf numFmtId="44" fontId="4" fillId="3" borderId="5" xfId="0" applyNumberFormat="1" applyFont="1" applyFill="1" applyBorder="1" applyAlignment="1">
      <alignment horizontal="center" vertical="top" wrapText="1"/>
    </xf>
    <xf numFmtId="0" fontId="4" fillId="3" borderId="1" xfId="0" applyFont="1" applyFill="1" applyBorder="1" applyAlignment="1">
      <alignment horizontal="center" vertical="top" wrapText="1"/>
    </xf>
    <xf numFmtId="0" fontId="3" fillId="0" borderId="1" xfId="0" applyFont="1" applyBorder="1" applyAlignment="1">
      <alignment horizontal="left" vertical="center" wrapText="1"/>
    </xf>
    <xf numFmtId="0" fontId="4" fillId="0" borderId="0" xfId="0" applyFont="1" applyFill="1" applyBorder="1" applyAlignment="1">
      <alignment horizontal="center" vertical="top" wrapText="1"/>
    </xf>
    <xf numFmtId="44" fontId="3" fillId="0" borderId="0" xfId="1" applyFont="1" applyFill="1" applyBorder="1" applyAlignment="1">
      <alignment horizontal="justify" vertical="center" wrapText="1"/>
    </xf>
    <xf numFmtId="44" fontId="11" fillId="0" borderId="0" xfId="1" applyFont="1" applyFill="1" applyBorder="1" applyAlignment="1">
      <alignment horizontal="justify" vertical="center" wrapText="1"/>
    </xf>
    <xf numFmtId="10" fontId="11" fillId="0" borderId="0" xfId="2" applyNumberFormat="1" applyFont="1" applyFill="1" applyBorder="1"/>
    <xf numFmtId="0" fontId="5" fillId="0" borderId="0" xfId="0" applyFont="1" applyFill="1" applyBorder="1" applyAlignment="1">
      <alignment horizontal="left" vertical="center"/>
    </xf>
    <xf numFmtId="44" fontId="11" fillId="0" borderId="0" xfId="0" applyNumberFormat="1" applyFont="1" applyFill="1" applyBorder="1" applyAlignment="1">
      <alignment horizontal="justify" vertical="center" wrapText="1"/>
    </xf>
    <xf numFmtId="0" fontId="11" fillId="0" borderId="0" xfId="0" applyFont="1" applyFill="1" applyBorder="1" applyAlignment="1">
      <alignment horizontal="justify" vertical="center" wrapText="1"/>
    </xf>
    <xf numFmtId="44" fontId="11" fillId="0" borderId="0" xfId="1" applyFont="1" applyFill="1" applyBorder="1" applyAlignment="1">
      <alignment horizontal="center" vertical="center" wrapText="1"/>
    </xf>
    <xf numFmtId="44" fontId="5" fillId="0" borderId="0" xfId="1" applyFont="1" applyFill="1" applyBorder="1" applyAlignment="1">
      <alignment vertical="center" wrapText="1"/>
    </xf>
    <xf numFmtId="44" fontId="11" fillId="0" borderId="0" xfId="0" applyNumberFormat="1" applyFont="1" applyFill="1" applyBorder="1" applyAlignment="1">
      <alignment horizontal="center" vertical="center" wrapText="1"/>
    </xf>
    <xf numFmtId="44" fontId="11" fillId="0" borderId="0" xfId="0" applyNumberFormat="1" applyFont="1" applyFill="1" applyBorder="1" applyAlignment="1">
      <alignment vertical="center" wrapText="1"/>
    </xf>
    <xf numFmtId="44" fontId="5" fillId="0" borderId="0" xfId="0" applyNumberFormat="1" applyFont="1" applyFill="1" applyBorder="1" applyAlignment="1">
      <alignment horizontal="justify" vertical="center"/>
    </xf>
    <xf numFmtId="0" fontId="5" fillId="0" borderId="0" xfId="4" applyNumberFormat="1" applyFont="1" applyFill="1" applyBorder="1" applyAlignment="1">
      <alignment horizontal="justify" vertical="center"/>
    </xf>
    <xf numFmtId="0" fontId="10" fillId="0" borderId="0" xfId="0" applyFont="1"/>
    <xf numFmtId="0" fontId="11" fillId="0" borderId="1" xfId="1" applyNumberFormat="1" applyFont="1" applyFill="1" applyBorder="1" applyAlignment="1">
      <alignment horizontal="center" vertical="center" wrapText="1"/>
    </xf>
    <xf numFmtId="168" fontId="11" fillId="0" borderId="1" xfId="1" applyNumberFormat="1" applyFont="1" applyFill="1" applyBorder="1" applyAlignment="1">
      <alignment horizontal="center" vertical="center" wrapText="1"/>
    </xf>
    <xf numFmtId="168" fontId="0" fillId="0" borderId="0" xfId="0" applyNumberFormat="1"/>
    <xf numFmtId="44" fontId="3" fillId="0" borderId="1" xfId="1" applyFont="1" applyFill="1" applyBorder="1" applyAlignment="1">
      <alignment horizontal="justify" vertical="center" wrapText="1"/>
    </xf>
    <xf numFmtId="10" fontId="11" fillId="0" borderId="1" xfId="0" applyNumberFormat="1" applyFont="1" applyFill="1" applyBorder="1" applyAlignment="1">
      <alignment horizontal="center" vertical="center" wrapText="1"/>
    </xf>
    <xf numFmtId="44" fontId="0" fillId="0" borderId="0" xfId="0" applyNumberFormat="1" applyAlignment="1">
      <alignment wrapText="1"/>
    </xf>
    <xf numFmtId="0" fontId="3" fillId="0" borderId="0" xfId="0" applyFont="1" applyAlignment="1">
      <alignment horizontal="center" vertical="top" wrapText="1"/>
    </xf>
    <xf numFmtId="0" fontId="3" fillId="0" borderId="0" xfId="0" applyFont="1" applyAlignment="1">
      <alignment vertical="center" wrapText="1"/>
    </xf>
    <xf numFmtId="0" fontId="3" fillId="0" borderId="0" xfId="0" applyFont="1" applyAlignment="1">
      <alignment wrapText="1"/>
    </xf>
    <xf numFmtId="0" fontId="4" fillId="0" borderId="2" xfId="0" applyFont="1" applyBorder="1" applyAlignment="1">
      <alignment vertical="center" wrapText="1"/>
    </xf>
    <xf numFmtId="44" fontId="4" fillId="0" borderId="2" xfId="0" applyNumberFormat="1" applyFont="1" applyBorder="1" applyAlignment="1">
      <alignment vertical="center" wrapText="1"/>
    </xf>
    <xf numFmtId="0" fontId="3" fillId="0" borderId="0" xfId="0" applyFont="1" applyAlignment="1">
      <alignment vertical="top"/>
    </xf>
    <xf numFmtId="0" fontId="3" fillId="0" borderId="0" xfId="0" applyFont="1"/>
    <xf numFmtId="44" fontId="3" fillId="0" borderId="1" xfId="1" applyFont="1" applyBorder="1" applyAlignment="1">
      <alignment vertical="center"/>
    </xf>
    <xf numFmtId="0" fontId="3" fillId="0" borderId="0" xfId="0" applyFont="1" applyAlignment="1">
      <alignment vertical="center"/>
    </xf>
    <xf numFmtId="44" fontId="4" fillId="0" borderId="2" xfId="1" applyFont="1" applyBorder="1" applyAlignment="1">
      <alignment vertical="center" wrapText="1"/>
    </xf>
    <xf numFmtId="0" fontId="10" fillId="0" borderId="0" xfId="0" applyFont="1" applyAlignment="1">
      <alignment vertical="center"/>
    </xf>
    <xf numFmtId="10" fontId="3" fillId="0" borderId="1" xfId="0" applyNumberFormat="1" applyFont="1" applyFill="1" applyBorder="1" applyAlignment="1">
      <alignment horizontal="center" vertical="center" wrapText="1"/>
    </xf>
    <xf numFmtId="0" fontId="17" fillId="0" borderId="0" xfId="0" applyFont="1" applyAlignment="1">
      <alignment horizontal="left" vertical="center"/>
    </xf>
    <xf numFmtId="0" fontId="5" fillId="0" borderId="0" xfId="0" applyFont="1" applyAlignment="1">
      <alignment horizontal="left" vertical="center"/>
    </xf>
    <xf numFmtId="0" fontId="14" fillId="0" borderId="0" xfId="0" applyFont="1" applyFill="1"/>
    <xf numFmtId="0" fontId="4" fillId="0" borderId="0" xfId="4" applyNumberFormat="1" applyFont="1" applyAlignment="1">
      <alignment horizontal="center" vertical="center"/>
    </xf>
    <xf numFmtId="4" fontId="4" fillId="3" borderId="1" xfId="0" applyNumberFormat="1" applyFont="1" applyFill="1" applyBorder="1" applyAlignment="1">
      <alignment horizontal="center" vertical="center" wrapText="1"/>
    </xf>
    <xf numFmtId="0" fontId="3" fillId="0" borderId="3" xfId="0" applyFont="1" applyBorder="1" applyAlignment="1">
      <alignment horizontal="left" vertical="center" wrapText="1"/>
    </xf>
    <xf numFmtId="9" fontId="5" fillId="0" borderId="0" xfId="2" applyFont="1" applyFill="1" applyBorder="1" applyAlignment="1">
      <alignment vertical="center" wrapText="1"/>
    </xf>
    <xf numFmtId="9" fontId="11" fillId="0" borderId="0" xfId="2" applyFont="1" applyFill="1" applyBorder="1" applyAlignment="1">
      <alignment horizontal="justify" vertical="center" wrapText="1"/>
    </xf>
    <xf numFmtId="10" fontId="4" fillId="0" borderId="0" xfId="2" applyNumberFormat="1" applyFont="1" applyFill="1" applyBorder="1" applyAlignment="1">
      <alignment horizontal="left" vertical="center" wrapText="1" indent="2"/>
    </xf>
    <xf numFmtId="10" fontId="4" fillId="0" borderId="0" xfId="2" applyNumberFormat="1" applyFont="1" applyAlignment="1">
      <alignment vertical="center" wrapText="1"/>
    </xf>
    <xf numFmtId="9" fontId="4" fillId="0" borderId="0" xfId="2" applyFont="1" applyAlignment="1">
      <alignment horizontal="left" vertical="center"/>
    </xf>
    <xf numFmtId="44" fontId="4" fillId="0" borderId="0" xfId="0" applyNumberFormat="1" applyFont="1" applyAlignment="1">
      <alignment vertical="center"/>
    </xf>
    <xf numFmtId="44" fontId="3" fillId="0" borderId="0" xfId="0" applyNumberFormat="1" applyFont="1"/>
    <xf numFmtId="0" fontId="4" fillId="3" borderId="1" xfId="0" applyFont="1" applyFill="1" applyBorder="1" applyAlignment="1">
      <alignment horizontal="center" vertical="top" wrapText="1"/>
    </xf>
    <xf numFmtId="0" fontId="5" fillId="0" borderId="0" xfId="0" applyFont="1" applyFill="1" applyBorder="1" applyAlignment="1">
      <alignment horizontal="center" vertical="top" wrapText="1"/>
    </xf>
    <xf numFmtId="0" fontId="10" fillId="0" borderId="0" xfId="0" applyFont="1" applyFill="1" applyBorder="1" applyAlignment="1">
      <alignment horizontal="left"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4"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3" borderId="3" xfId="0" applyFont="1" applyFill="1" applyBorder="1" applyAlignment="1">
      <alignment horizontal="center" vertical="top" wrapText="1"/>
    </xf>
    <xf numFmtId="0" fontId="4" fillId="0" borderId="0" xfId="0" applyFont="1" applyAlignment="1">
      <alignment horizontal="center" vertical="center"/>
    </xf>
    <xf numFmtId="0" fontId="11" fillId="5" borderId="1" xfId="0" applyFont="1" applyFill="1" applyBorder="1" applyAlignment="1">
      <alignment horizontal="center" vertical="center" wrapText="1"/>
    </xf>
    <xf numFmtId="0" fontId="11" fillId="5" borderId="1" xfId="0" applyFont="1" applyFill="1" applyBorder="1" applyAlignment="1">
      <alignment horizontal="justify" vertical="center"/>
    </xf>
    <xf numFmtId="44" fontId="11" fillId="0" borderId="1" xfId="1" applyFont="1" applyBorder="1" applyAlignment="1">
      <alignment vertical="center"/>
    </xf>
    <xf numFmtId="166" fontId="11" fillId="0" borderId="3" xfId="0" applyNumberFormat="1" applyFont="1" applyFill="1" applyBorder="1" applyAlignment="1">
      <alignment horizontal="center" vertical="center" wrapText="1"/>
    </xf>
    <xf numFmtId="44" fontId="3" fillId="6" borderId="1" xfId="1" applyFont="1" applyFill="1" applyBorder="1" applyAlignment="1">
      <alignment horizontal="justify" vertical="center" wrapText="1"/>
    </xf>
    <xf numFmtId="0" fontId="14" fillId="0" borderId="0" xfId="0" applyFont="1" applyAlignment="1">
      <alignment horizontal="left"/>
    </xf>
    <xf numFmtId="0" fontId="14" fillId="0" borderId="0" xfId="0" applyFont="1" applyAlignment="1">
      <alignment horizontal="center"/>
    </xf>
    <xf numFmtId="0" fontId="3" fillId="6" borderId="1" xfId="3" applyFont="1" applyFill="1" applyBorder="1" applyAlignment="1">
      <alignment vertical="center" wrapText="1"/>
    </xf>
    <xf numFmtId="14" fontId="3" fillId="6" borderId="1" xfId="3" applyNumberFormat="1" applyFont="1" applyFill="1" applyBorder="1" applyAlignment="1">
      <alignment vertical="center" wrapText="1"/>
    </xf>
    <xf numFmtId="0" fontId="14" fillId="0" borderId="0" xfId="0" applyFont="1" applyFill="1" applyBorder="1"/>
    <xf numFmtId="0" fontId="14" fillId="0" borderId="0" xfId="0" applyFont="1" applyAlignment="1">
      <alignment horizontal="left" wrapText="1"/>
    </xf>
    <xf numFmtId="0" fontId="14" fillId="0" borderId="0" xfId="0" applyFont="1" applyAlignment="1">
      <alignment wrapText="1"/>
    </xf>
    <xf numFmtId="0" fontId="15" fillId="0" borderId="0" xfId="0" applyFont="1" applyFill="1"/>
    <xf numFmtId="10" fontId="15" fillId="0" borderId="0" xfId="2" applyNumberFormat="1" applyFont="1" applyFill="1"/>
    <xf numFmtId="0" fontId="18" fillId="0" borderId="0" xfId="0" applyFont="1" applyFill="1"/>
    <xf numFmtId="0" fontId="19" fillId="0" borderId="0" xfId="0" applyFont="1" applyFill="1"/>
    <xf numFmtId="0" fontId="14" fillId="0" borderId="0" xfId="0" applyFont="1" applyFill="1" applyAlignment="1">
      <alignment horizontal="left"/>
    </xf>
    <xf numFmtId="0" fontId="14" fillId="0" borderId="0" xfId="0" applyFont="1" applyFill="1" applyAlignment="1">
      <alignment wrapText="1"/>
    </xf>
    <xf numFmtId="44" fontId="10" fillId="0" borderId="5" xfId="1" applyFont="1" applyBorder="1" applyAlignment="1">
      <alignment horizontal="left" vertical="center" wrapText="1" indent="2"/>
    </xf>
    <xf numFmtId="44" fontId="10" fillId="0" borderId="1" xfId="1" applyFont="1" applyBorder="1" applyAlignment="1">
      <alignment horizontal="left" vertical="center" wrapText="1" indent="2"/>
    </xf>
    <xf numFmtId="9" fontId="14" fillId="0" borderId="1" xfId="0" applyNumberFormat="1" applyFont="1" applyFill="1" applyBorder="1" applyAlignment="1">
      <alignment horizontal="center"/>
    </xf>
    <xf numFmtId="44" fontId="14" fillId="0" borderId="1" xfId="1" applyFont="1" applyFill="1" applyBorder="1"/>
    <xf numFmtId="9" fontId="14" fillId="0" borderId="1" xfId="0" applyNumberFormat="1" applyFont="1" applyBorder="1" applyAlignment="1">
      <alignment horizontal="center"/>
    </xf>
    <xf numFmtId="44" fontId="14" fillId="0" borderId="1" xfId="1" applyFont="1" applyBorder="1"/>
    <xf numFmtId="0" fontId="14" fillId="0" borderId="1" xfId="4" applyNumberFormat="1" applyFont="1" applyBorder="1" applyAlignment="1">
      <alignment horizontal="center" vertical="center"/>
    </xf>
    <xf numFmtId="44" fontId="14" fillId="0" borderId="1" xfId="1" applyFont="1" applyBorder="1" applyAlignment="1">
      <alignment vertical="center"/>
    </xf>
    <xf numFmtId="0" fontId="14" fillId="0" borderId="1" xfId="4" applyNumberFormat="1" applyFont="1" applyBorder="1" applyAlignment="1">
      <alignment horizontal="center"/>
    </xf>
    <xf numFmtId="10" fontId="15" fillId="0" borderId="1" xfId="0" applyNumberFormat="1" applyFont="1" applyBorder="1" applyAlignment="1">
      <alignment horizontal="center"/>
    </xf>
    <xf numFmtId="44" fontId="15" fillId="0" borderId="1" xfId="1" applyFont="1" applyBorder="1"/>
    <xf numFmtId="10" fontId="15" fillId="0" borderId="1" xfId="2" applyNumberFormat="1" applyFont="1" applyBorder="1" applyAlignment="1">
      <alignment horizontal="center"/>
    </xf>
    <xf numFmtId="9" fontId="15" fillId="0" borderId="1" xfId="0" applyNumberFormat="1" applyFont="1" applyBorder="1" applyAlignment="1">
      <alignment horizontal="center"/>
    </xf>
    <xf numFmtId="44" fontId="14" fillId="4" borderId="1" xfId="1" applyFont="1" applyFill="1" applyBorder="1"/>
    <xf numFmtId="44" fontId="20" fillId="0" borderId="0" xfId="1" applyFont="1" applyFill="1" applyBorder="1"/>
    <xf numFmtId="0" fontId="14" fillId="0" borderId="0" xfId="0" applyFont="1" applyAlignment="1">
      <alignment vertical="top"/>
    </xf>
    <xf numFmtId="9" fontId="14" fillId="0" borderId="0" xfId="2" applyFont="1"/>
    <xf numFmtId="44" fontId="14" fillId="0" borderId="0" xfId="0" applyNumberFormat="1" applyFont="1" applyFill="1"/>
    <xf numFmtId="0" fontId="14" fillId="0" borderId="0" xfId="0" applyFont="1" applyFill="1" applyBorder="1" applyAlignment="1">
      <alignment horizontal="left"/>
    </xf>
    <xf numFmtId="9" fontId="14" fillId="0" borderId="0" xfId="2" applyFont="1" applyFill="1"/>
    <xf numFmtId="166" fontId="14" fillId="0" borderId="0" xfId="0" applyNumberFormat="1" applyFont="1" applyFill="1"/>
    <xf numFmtId="44" fontId="14" fillId="0" borderId="0" xfId="0" applyNumberFormat="1" applyFont="1"/>
    <xf numFmtId="4" fontId="14" fillId="0" borderId="0" xfId="0" applyNumberFormat="1" applyFont="1"/>
    <xf numFmtId="0" fontId="1" fillId="0" borderId="0" xfId="0" applyFont="1"/>
    <xf numFmtId="44" fontId="4" fillId="0" borderId="0" xfId="0" applyNumberFormat="1" applyFont="1" applyFill="1" applyBorder="1" applyAlignment="1">
      <alignment horizontal="justify" vertical="center"/>
    </xf>
    <xf numFmtId="0" fontId="0" fillId="0" borderId="0" xfId="0"/>
    <xf numFmtId="0" fontId="4" fillId="0" borderId="2" xfId="0" applyFont="1" applyBorder="1" applyAlignment="1">
      <alignment vertical="center" wrapText="1"/>
    </xf>
    <xf numFmtId="0" fontId="11" fillId="5" borderId="0" xfId="0" applyFont="1" applyFill="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vertical="center" wrapText="1"/>
    </xf>
    <xf numFmtId="0" fontId="3" fillId="0" borderId="1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8" xfId="0" applyFont="1" applyBorder="1" applyAlignment="1">
      <alignment vertical="center" wrapText="1"/>
    </xf>
    <xf numFmtId="0" fontId="3" fillId="0" borderId="20" xfId="0" applyFont="1" applyBorder="1" applyAlignment="1">
      <alignment vertical="center" wrapText="1"/>
    </xf>
    <xf numFmtId="0" fontId="24" fillId="0" borderId="0" xfId="0" applyFont="1" applyAlignment="1">
      <alignment wrapText="1"/>
    </xf>
    <xf numFmtId="0" fontId="4" fillId="2" borderId="10" xfId="0" applyFont="1" applyFill="1" applyBorder="1" applyAlignment="1">
      <alignment horizontal="center" vertical="top" wrapText="1"/>
    </xf>
    <xf numFmtId="44" fontId="3" fillId="0" borderId="15" xfId="1" applyFont="1" applyBorder="1" applyAlignment="1">
      <alignment horizontal="center" vertical="center" wrapText="1"/>
    </xf>
    <xf numFmtId="44" fontId="3" fillId="0" borderId="15" xfId="1" applyNumberFormat="1" applyFont="1" applyBorder="1" applyAlignment="1">
      <alignment horizontal="center" vertical="center" wrapText="1"/>
    </xf>
    <xf numFmtId="0" fontId="4" fillId="0" borderId="15" xfId="0" applyFont="1" applyBorder="1" applyAlignment="1">
      <alignment vertical="center" wrapText="1"/>
    </xf>
    <xf numFmtId="44" fontId="3" fillId="0" borderId="19" xfId="1" applyNumberFormat="1" applyFont="1" applyBorder="1" applyAlignment="1">
      <alignment horizontal="center" vertical="center" wrapText="1"/>
    </xf>
    <xf numFmtId="44" fontId="11" fillId="0" borderId="15" xfId="1" applyNumberFormat="1" applyFont="1" applyBorder="1" applyAlignment="1">
      <alignment horizontal="center" vertical="center" wrapText="1"/>
    </xf>
    <xf numFmtId="44" fontId="4" fillId="0" borderId="15" xfId="0" applyNumberFormat="1" applyFont="1" applyBorder="1" applyAlignment="1">
      <alignment vertical="center" wrapText="1"/>
    </xf>
    <xf numFmtId="0" fontId="4" fillId="3" borderId="1" xfId="0" applyFont="1" applyFill="1" applyBorder="1" applyAlignment="1">
      <alignment horizontal="center" vertical="top" wrapText="1"/>
    </xf>
    <xf numFmtId="0" fontId="5" fillId="0" borderId="0" xfId="0" applyFont="1" applyFill="1" applyBorder="1" applyAlignment="1">
      <alignment horizontal="center" vertical="top" wrapText="1"/>
    </xf>
    <xf numFmtId="0" fontId="10" fillId="0" borderId="0"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4" fillId="3" borderId="1"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3" borderId="3" xfId="0" applyFont="1" applyFill="1" applyBorder="1" applyAlignment="1">
      <alignment horizontal="center" vertical="top" wrapText="1"/>
    </xf>
    <xf numFmtId="0" fontId="4"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top" wrapText="1"/>
    </xf>
    <xf numFmtId="0" fontId="3" fillId="0" borderId="1"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4" fillId="3" borderId="3" xfId="0" applyFont="1" applyFill="1" applyBorder="1" applyAlignment="1">
      <alignment horizontal="center" vertical="top"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10" fillId="0" borderId="0" xfId="0" applyFont="1" applyFill="1" applyBorder="1" applyAlignment="1">
      <alignment horizontal="center" vertical="center" wrapText="1"/>
    </xf>
    <xf numFmtId="0" fontId="5" fillId="0" borderId="0" xfId="0" applyFont="1" applyFill="1" applyBorder="1" applyAlignment="1">
      <alignment horizontal="center" vertical="top" wrapText="1"/>
    </xf>
    <xf numFmtId="0" fontId="10" fillId="0" borderId="0" xfId="0" applyFont="1" applyFill="1" applyBorder="1" applyAlignment="1">
      <alignment horizontal="left" vertical="center" wrapText="1"/>
    </xf>
    <xf numFmtId="0" fontId="22" fillId="0" borderId="16" xfId="0" applyFont="1" applyBorder="1" applyAlignment="1">
      <alignment horizontal="left" vertical="center" wrapText="1"/>
    </xf>
    <xf numFmtId="0" fontId="22" fillId="0" borderId="18" xfId="0" applyFont="1" applyBorder="1" applyAlignment="1">
      <alignment horizontal="center" vertical="center" wrapText="1"/>
    </xf>
    <xf numFmtId="0" fontId="9" fillId="2" borderId="1" xfId="0" applyFont="1" applyFill="1" applyBorder="1" applyAlignment="1">
      <alignment horizontal="center" vertical="center" wrapText="1"/>
    </xf>
    <xf numFmtId="44" fontId="11" fillId="0" borderId="1" xfId="1" applyNumberFormat="1" applyFont="1" applyBorder="1" applyAlignment="1">
      <alignment vertical="center"/>
    </xf>
    <xf numFmtId="168" fontId="11" fillId="0" borderId="1" xfId="1" applyNumberFormat="1" applyFont="1" applyBorder="1" applyAlignment="1">
      <alignment horizontal="center" vertical="center" wrapText="1"/>
    </xf>
    <xf numFmtId="0" fontId="11" fillId="0" borderId="1" xfId="1" applyNumberFormat="1" applyFont="1" applyBorder="1" applyAlignment="1">
      <alignment horizontal="center" vertical="center" wrapText="1"/>
    </xf>
    <xf numFmtId="9" fontId="11" fillId="0" borderId="1" xfId="2" applyFont="1" applyBorder="1" applyAlignment="1">
      <alignment horizontal="center" vertical="center" wrapText="1"/>
    </xf>
    <xf numFmtId="168" fontId="3" fillId="3" borderId="1" xfId="1" applyNumberFormat="1" applyFont="1" applyFill="1" applyBorder="1" applyAlignment="1">
      <alignment horizontal="center" vertical="center" wrapText="1"/>
    </xf>
    <xf numFmtId="44" fontId="11" fillId="0" borderId="1" xfId="1" applyFont="1" applyBorder="1" applyAlignment="1">
      <alignment horizontal="center" vertical="center" wrapText="1"/>
    </xf>
    <xf numFmtId="0" fontId="25" fillId="7" borderId="10" xfId="0" applyFont="1" applyFill="1" applyBorder="1" applyAlignment="1">
      <alignment vertical="top"/>
    </xf>
    <xf numFmtId="0" fontId="25" fillId="7" borderId="10" xfId="0" applyFont="1" applyFill="1" applyBorder="1" applyAlignment="1">
      <alignment horizontal="center" vertical="top" wrapText="1"/>
    </xf>
    <xf numFmtId="0" fontId="0" fillId="0" borderId="0" xfId="0" applyAlignment="1">
      <alignment vertical="top"/>
    </xf>
    <xf numFmtId="0" fontId="26" fillId="0" borderId="1" xfId="0" applyFont="1" applyBorder="1" applyAlignment="1">
      <alignment horizontal="left" vertical="center"/>
    </xf>
    <xf numFmtId="0" fontId="26" fillId="0" borderId="1" xfId="0" applyFont="1" applyBorder="1" applyAlignment="1">
      <alignment horizontal="center" vertical="center"/>
    </xf>
    <xf numFmtId="0" fontId="26" fillId="0" borderId="0" xfId="0" applyFont="1" applyAlignment="1">
      <alignment vertical="center"/>
    </xf>
    <xf numFmtId="0" fontId="0" fillId="0" borderId="0" xfId="0" applyAlignment="1">
      <alignment horizontal="center" wrapText="1"/>
    </xf>
    <xf numFmtId="0" fontId="0" fillId="0" borderId="0" xfId="0" applyAlignment="1">
      <alignment horizontal="center"/>
    </xf>
    <xf numFmtId="0" fontId="26" fillId="0" borderId="0" xfId="0" applyFont="1" applyAlignment="1">
      <alignment horizontal="left" vertical="top" wrapText="1"/>
    </xf>
    <xf numFmtId="0" fontId="28" fillId="0" borderId="0" xfId="0" applyFont="1"/>
    <xf numFmtId="0" fontId="28" fillId="0" borderId="0" xfId="0" applyFont="1" applyAlignment="1">
      <alignment horizontal="center" wrapText="1"/>
    </xf>
    <xf numFmtId="0" fontId="29" fillId="0" borderId="0" xfId="0" applyFont="1" applyBorder="1" applyAlignment="1">
      <alignment horizontal="center" vertical="center" wrapText="1"/>
    </xf>
    <xf numFmtId="44" fontId="0" fillId="0" borderId="0" xfId="1" applyFont="1"/>
    <xf numFmtId="4" fontId="22" fillId="0" borderId="1" xfId="0" applyNumberFormat="1" applyFont="1" applyBorder="1" applyAlignment="1">
      <alignment horizontal="center" vertical="center"/>
    </xf>
    <xf numFmtId="0" fontId="31" fillId="7" borderId="1" xfId="0" applyFont="1" applyFill="1" applyBorder="1" applyAlignment="1">
      <alignment vertical="center" wrapText="1"/>
    </xf>
    <xf numFmtId="44" fontId="0" fillId="0" borderId="0" xfId="0" applyNumberFormat="1"/>
    <xf numFmtId="0" fontId="26" fillId="0" borderId="1" xfId="0" applyFont="1" applyFill="1" applyBorder="1" applyAlignment="1">
      <alignment horizontal="left" vertical="center"/>
    </xf>
    <xf numFmtId="4" fontId="26" fillId="0" borderId="1" xfId="0" applyNumberFormat="1" applyFont="1" applyFill="1" applyBorder="1" applyAlignment="1">
      <alignment horizontal="center" vertical="center" wrapText="1"/>
    </xf>
    <xf numFmtId="0" fontId="3" fillId="6" borderId="18" xfId="0" applyFont="1" applyFill="1" applyBorder="1" applyAlignment="1">
      <alignment vertical="center" wrapText="1"/>
    </xf>
    <xf numFmtId="0" fontId="3" fillId="6" borderId="16" xfId="0" applyFont="1" applyFill="1" applyBorder="1" applyAlignment="1">
      <alignment vertical="center" wrapText="1"/>
    </xf>
    <xf numFmtId="2" fontId="14" fillId="0" borderId="0" xfId="0" applyNumberFormat="1" applyFont="1"/>
    <xf numFmtId="0" fontId="4" fillId="6" borderId="18" xfId="0" applyFont="1" applyFill="1" applyBorder="1" applyAlignment="1">
      <alignment vertical="center" wrapText="1"/>
    </xf>
    <xf numFmtId="0" fontId="4" fillId="0" borderId="18" xfId="0" applyFont="1" applyBorder="1" applyAlignment="1">
      <alignment vertical="center" wrapText="1"/>
    </xf>
    <xf numFmtId="0" fontId="22" fillId="0" borderId="18" xfId="0" applyFont="1" applyFill="1" applyBorder="1" applyAlignment="1">
      <alignment horizontal="center" vertical="center" wrapText="1"/>
    </xf>
    <xf numFmtId="0" fontId="4" fillId="0" borderId="18" xfId="0" applyFont="1" applyFill="1" applyBorder="1" applyAlignment="1">
      <alignment vertical="center" wrapText="1"/>
    </xf>
    <xf numFmtId="0" fontId="3" fillId="0" borderId="18" xfId="0" applyFont="1" applyFill="1" applyBorder="1" applyAlignment="1">
      <alignment horizontal="center" vertical="center" wrapText="1"/>
    </xf>
    <xf numFmtId="0" fontId="33" fillId="0" borderId="15" xfId="0" applyFont="1" applyBorder="1" applyAlignment="1">
      <alignment horizontal="center" vertical="center" wrapText="1"/>
    </xf>
    <xf numFmtId="0" fontId="33" fillId="0" borderId="18" xfId="0" applyFont="1" applyBorder="1" applyAlignment="1">
      <alignment horizontal="left" vertical="center" wrapText="1"/>
    </xf>
    <xf numFmtId="0" fontId="33" fillId="0" borderId="18" xfId="0" applyFont="1" applyBorder="1" applyAlignment="1">
      <alignment horizontal="center" vertical="center" wrapText="1"/>
    </xf>
    <xf numFmtId="0" fontId="33" fillId="0" borderId="18" xfId="0" applyFont="1" applyBorder="1" applyAlignment="1">
      <alignment horizontal="center" vertical="center"/>
    </xf>
    <xf numFmtId="0" fontId="33" fillId="0" borderId="1" xfId="0" applyFont="1" applyBorder="1" applyAlignment="1">
      <alignment horizontal="center" vertical="center" wrapText="1"/>
    </xf>
    <xf numFmtId="0" fontId="33" fillId="6" borderId="18" xfId="0" applyFont="1" applyFill="1" applyBorder="1" applyAlignment="1">
      <alignment horizontal="left" vertical="center" wrapText="1"/>
    </xf>
    <xf numFmtId="44" fontId="3" fillId="10" borderId="15" xfId="1" applyFont="1" applyFill="1" applyBorder="1" applyAlignment="1">
      <alignment horizontal="center" vertical="center" wrapText="1"/>
    </xf>
    <xf numFmtId="44" fontId="11" fillId="10" borderId="15" xfId="1" applyFont="1" applyFill="1" applyBorder="1" applyAlignment="1">
      <alignment horizontal="center" vertical="center" wrapText="1"/>
    </xf>
    <xf numFmtId="44" fontId="11" fillId="10" borderId="1" xfId="1" applyFont="1" applyFill="1" applyBorder="1" applyAlignment="1">
      <alignment vertical="center"/>
    </xf>
    <xf numFmtId="44" fontId="3" fillId="10" borderId="1" xfId="1" applyFont="1" applyFill="1" applyBorder="1" applyAlignment="1">
      <alignment vertical="center"/>
    </xf>
    <xf numFmtId="0" fontId="11" fillId="0" borderId="1" xfId="0" applyFont="1" applyFill="1" applyBorder="1" applyAlignment="1">
      <alignment horizontal="justify" vertical="center" wrapText="1"/>
    </xf>
    <xf numFmtId="0" fontId="11" fillId="0" borderId="1" xfId="0" applyFont="1" applyFill="1" applyBorder="1" applyAlignment="1">
      <alignment horizontal="justify" vertical="center"/>
    </xf>
    <xf numFmtId="0" fontId="3" fillId="0" borderId="17" xfId="0" applyFont="1" applyBorder="1" applyAlignment="1">
      <alignment horizontal="center" vertical="center" wrapText="1"/>
    </xf>
    <xf numFmtId="0" fontId="30" fillId="8" borderId="2" xfId="0" applyFont="1" applyFill="1" applyBorder="1" applyAlignment="1">
      <alignment horizontal="center" wrapText="1"/>
    </xf>
    <xf numFmtId="0" fontId="32" fillId="0" borderId="1" xfId="0" applyFont="1" applyBorder="1" applyAlignment="1">
      <alignment horizontal="center" vertical="center" wrapText="1"/>
    </xf>
    <xf numFmtId="0" fontId="32" fillId="0" borderId="1" xfId="0" applyFont="1" applyBorder="1" applyAlignment="1">
      <alignment horizontal="center" vertical="center"/>
    </xf>
    <xf numFmtId="2" fontId="0" fillId="0" borderId="1" xfId="0" applyNumberFormat="1" applyBorder="1" applyAlignment="1">
      <alignment horizontal="center" vertical="center"/>
    </xf>
    <xf numFmtId="44" fontId="3" fillId="0" borderId="3" xfId="0" applyNumberFormat="1" applyFont="1" applyBorder="1" applyAlignment="1">
      <alignment horizontal="center" vertical="center" wrapText="1"/>
    </xf>
    <xf numFmtId="44" fontId="3" fillId="0" borderId="5" xfId="0" applyNumberFormat="1"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3" borderId="3"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2" fontId="0" fillId="9" borderId="1" xfId="0" applyNumberFormat="1" applyFill="1" applyBorder="1" applyAlignment="1">
      <alignment horizontal="center"/>
    </xf>
    <xf numFmtId="0" fontId="33" fillId="9" borderId="3" xfId="0" applyFont="1" applyFill="1" applyBorder="1" applyAlignment="1">
      <alignment horizontal="center" vertical="center"/>
    </xf>
    <xf numFmtId="0" fontId="33" fillId="9" borderId="4" xfId="0" applyFont="1" applyFill="1" applyBorder="1" applyAlignment="1">
      <alignment horizontal="center" vertical="center"/>
    </xf>
    <xf numFmtId="0" fontId="0" fillId="0" borderId="1" xfId="0" applyBorder="1" applyAlignment="1">
      <alignment horizontal="center" vertical="center"/>
    </xf>
    <xf numFmtId="3" fontId="27" fillId="0" borderId="3" xfId="0" applyNumberFormat="1" applyFont="1" applyFill="1" applyBorder="1" applyAlignment="1">
      <alignment horizontal="center" vertical="center"/>
    </xf>
    <xf numFmtId="3" fontId="27" fillId="0" borderId="4" xfId="0" applyNumberFormat="1" applyFont="1" applyFill="1" applyBorder="1" applyAlignment="1">
      <alignment horizontal="center" vertical="center"/>
    </xf>
    <xf numFmtId="4" fontId="27" fillId="0" borderId="3" xfId="0" applyNumberFormat="1" applyFont="1" applyBorder="1" applyAlignment="1">
      <alignment horizontal="center" vertical="center" wrapText="1"/>
    </xf>
    <xf numFmtId="4" fontId="27" fillId="0" borderId="4" xfId="0" applyNumberFormat="1" applyFont="1" applyBorder="1" applyAlignment="1">
      <alignment horizontal="center" vertical="center" wrapText="1"/>
    </xf>
    <xf numFmtId="4" fontId="27" fillId="0" borderId="5" xfId="0" applyNumberFormat="1" applyFont="1" applyBorder="1" applyAlignment="1">
      <alignment horizontal="center" vertical="center" wrapText="1"/>
    </xf>
    <xf numFmtId="3" fontId="27" fillId="0" borderId="5" xfId="0" applyNumberFormat="1" applyFont="1" applyFill="1" applyBorder="1" applyAlignment="1">
      <alignment horizontal="center" vertical="center"/>
    </xf>
    <xf numFmtId="0" fontId="3" fillId="0" borderId="1" xfId="0" applyFont="1" applyBorder="1" applyAlignment="1">
      <alignment horizontal="left" vertical="center" wrapText="1"/>
    </xf>
    <xf numFmtId="0" fontId="4" fillId="3" borderId="1" xfId="0" applyFont="1" applyFill="1" applyBorder="1" applyAlignment="1">
      <alignment horizontal="center" vertical="top" wrapText="1"/>
    </xf>
    <xf numFmtId="44" fontId="3" fillId="0" borderId="1" xfId="0" applyNumberFormat="1" applyFont="1" applyBorder="1" applyAlignment="1">
      <alignment horizontal="center" vertical="center" wrapText="1"/>
    </xf>
    <xf numFmtId="0" fontId="4" fillId="3" borderId="10"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4" fillId="3" borderId="4" xfId="0" applyFont="1" applyFill="1" applyBorder="1" applyAlignment="1">
      <alignment horizontal="center" vertical="top" wrapText="1"/>
    </xf>
    <xf numFmtId="0" fontId="3" fillId="0" borderId="4" xfId="0" applyFont="1" applyBorder="1" applyAlignment="1">
      <alignment horizontal="left"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3" fillId="0" borderId="0" xfId="0" applyFont="1" applyAlignment="1">
      <alignment horizontal="left" vertical="center" wrapText="1"/>
    </xf>
    <xf numFmtId="0" fontId="3"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3" fillId="0" borderId="8" xfId="0" applyFont="1" applyBorder="1" applyAlignment="1">
      <alignment horizontal="left" vertical="center" wrapText="1"/>
    </xf>
    <xf numFmtId="165" fontId="3" fillId="0" borderId="3" xfId="0" applyNumberFormat="1" applyFont="1" applyFill="1" applyBorder="1" applyAlignment="1">
      <alignment horizontal="center" vertical="center" wrapText="1"/>
    </xf>
    <xf numFmtId="165" fontId="3" fillId="0" borderId="5"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4"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0" xfId="0" applyFont="1" applyBorder="1" applyAlignment="1">
      <alignment horizontal="left" vertical="center" wrapText="1"/>
    </xf>
    <xf numFmtId="0" fontId="10" fillId="0" borderId="3" xfId="0" applyFont="1" applyBorder="1" applyAlignment="1">
      <alignment horizontal="left" vertical="center" wrapText="1" indent="2"/>
    </xf>
    <xf numFmtId="0" fontId="10" fillId="0" borderId="4" xfId="0" applyFont="1" applyBorder="1" applyAlignment="1">
      <alignment horizontal="left" vertical="center" wrapText="1" indent="2"/>
    </xf>
    <xf numFmtId="0" fontId="10" fillId="0" borderId="5" xfId="0" applyFont="1" applyBorder="1" applyAlignment="1">
      <alignment horizontal="left" vertical="center" wrapText="1" indent="2"/>
    </xf>
    <xf numFmtId="0" fontId="10" fillId="0" borderId="7" xfId="0" quotePrefix="1" applyFont="1" applyFill="1" applyBorder="1" applyAlignment="1">
      <alignment horizontal="left" vertical="center" wrapText="1"/>
    </xf>
    <xf numFmtId="0" fontId="10" fillId="0" borderId="0" xfId="0" quotePrefix="1" applyFont="1" applyFill="1" applyBorder="1" applyAlignment="1">
      <alignment horizontal="left" vertical="center"/>
    </xf>
    <xf numFmtId="0" fontId="10" fillId="0"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Border="1" applyAlignment="1">
      <alignment horizontal="left" vertical="center" wrapText="1" indent="2"/>
    </xf>
    <xf numFmtId="0" fontId="5" fillId="0" borderId="0" xfId="0" applyFont="1" applyFill="1" applyBorder="1" applyAlignment="1">
      <alignment horizontal="center" vertical="top" wrapText="1"/>
    </xf>
    <xf numFmtId="0" fontId="10" fillId="0" borderId="3" xfId="0" applyFont="1" applyBorder="1" applyAlignment="1">
      <alignment horizontal="left" vertical="center" wrapText="1" indent="3"/>
    </xf>
    <xf numFmtId="0" fontId="10" fillId="0" borderId="5" xfId="0" applyFont="1" applyBorder="1" applyAlignment="1">
      <alignment horizontal="left" vertical="center" wrapText="1" indent="3"/>
    </xf>
    <xf numFmtId="0" fontId="10" fillId="0" borderId="0"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0" xfId="0" applyFont="1" applyBorder="1" applyAlignment="1">
      <alignment horizontal="left" vertical="center" wrapText="1"/>
    </xf>
    <xf numFmtId="0" fontId="4" fillId="3" borderId="6" xfId="0" applyFont="1" applyFill="1" applyBorder="1" applyAlignment="1">
      <alignment horizontal="center" vertical="center" wrapText="1"/>
    </xf>
    <xf numFmtId="0" fontId="4" fillId="0" borderId="0" xfId="0" applyFont="1" applyFill="1" applyAlignment="1">
      <alignment horizontal="center" vertical="center"/>
    </xf>
    <xf numFmtId="0" fontId="4" fillId="0" borderId="6" xfId="0" applyFont="1" applyBorder="1" applyAlignment="1">
      <alignment horizontal="center" vertical="center"/>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7" xfId="0" applyFont="1" applyBorder="1" applyAlignment="1">
      <alignment horizontal="center" vertical="center" wrapText="1"/>
    </xf>
    <xf numFmtId="0" fontId="24" fillId="0" borderId="22" xfId="0" applyFont="1" applyBorder="1" applyAlignment="1">
      <alignment horizontal="left" vertical="top" wrapText="1"/>
    </xf>
    <xf numFmtId="0" fontId="24" fillId="0" borderId="23" xfId="0" applyFont="1" applyBorder="1" applyAlignment="1">
      <alignment horizontal="left" vertical="top" wrapText="1"/>
    </xf>
    <xf numFmtId="0" fontId="22" fillId="0" borderId="16"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3" fillId="6" borderId="18" xfId="0" applyFont="1" applyFill="1" applyBorder="1" applyAlignment="1">
      <alignment horizontal="center" vertical="center" wrapText="1"/>
    </xf>
    <xf numFmtId="0" fontId="33" fillId="0" borderId="18" xfId="0" applyFont="1" applyFill="1" applyBorder="1" applyAlignment="1">
      <alignment horizontal="center" vertical="center"/>
    </xf>
  </cellXfs>
  <cellStyles count="12">
    <cellStyle name="Estilo 1" xfId="3" xr:uid="{00000000-0005-0000-0000-000000000000}"/>
    <cellStyle name="Estilo 2" xfId="5" xr:uid="{00000000-0005-0000-0000-000001000000}"/>
    <cellStyle name="Moeda" xfId="1" builtinId="4"/>
    <cellStyle name="Moeda 2" xfId="9" xr:uid="{00000000-0005-0000-0000-000003000000}"/>
    <cellStyle name="Moeda 3" xfId="7" xr:uid="{00000000-0005-0000-0000-000004000000}"/>
    <cellStyle name="Normal" xfId="0" builtinId="0"/>
    <cellStyle name="Normal 2" xfId="6" xr:uid="{00000000-0005-0000-0000-000006000000}"/>
    <cellStyle name="Normal 3" xfId="11" xr:uid="{00000000-0005-0000-0000-000007000000}"/>
    <cellStyle name="Porcentagem" xfId="2" builtinId="5"/>
    <cellStyle name="Vírgula" xfId="4" builtinId="3"/>
    <cellStyle name="Vírgula 2" xfId="10" xr:uid="{00000000-0005-0000-0000-00000A000000}"/>
    <cellStyle name="Vírgula 3" xfId="8" xr:uid="{00000000-0005-0000-0000-00000B000000}"/>
  </cellStyles>
  <dxfs count="6">
    <dxf>
      <font>
        <color rgb="FF008000"/>
      </font>
    </dxf>
    <dxf>
      <font>
        <b/>
        <i val="0"/>
      </font>
      <fill>
        <patternFill>
          <bgColor rgb="FFFF0000"/>
        </patternFill>
      </fill>
    </dxf>
    <dxf>
      <font>
        <color rgb="FF008000"/>
      </font>
    </dxf>
    <dxf>
      <font>
        <b/>
        <i val="0"/>
      </font>
      <fill>
        <patternFill>
          <bgColor rgb="FFFF0000"/>
        </patternFill>
      </fill>
    </dxf>
    <dxf>
      <font>
        <color rgb="FF008000"/>
      </font>
    </dxf>
    <dxf>
      <font>
        <b/>
        <i val="0"/>
      </font>
      <fill>
        <patternFill>
          <bgColor rgb="FFFF0000"/>
        </patternFill>
      </fill>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2"/>
  <sheetViews>
    <sheetView showGridLines="0" view="pageBreakPreview" zoomScaleNormal="100" zoomScaleSheetLayoutView="100" workbookViewId="0">
      <selection activeCell="B31" sqref="B31"/>
    </sheetView>
  </sheetViews>
  <sheetFormatPr defaultRowHeight="15" x14ac:dyDescent="0.25"/>
  <cols>
    <col min="1" max="1" width="71.85546875" style="171" bestFit="1" customWidth="1"/>
    <col min="2" max="2" width="30.28515625" style="227" customWidth="1"/>
    <col min="3" max="3" width="5.42578125" style="171" customWidth="1"/>
    <col min="4" max="4" width="9.28515625" style="171" customWidth="1"/>
    <col min="5" max="5" width="10.140625" style="171" customWidth="1"/>
    <col min="6" max="16384" width="9.140625" style="171"/>
  </cols>
  <sheetData>
    <row r="1" spans="1:5" ht="15" customHeight="1" x14ac:dyDescent="0.25">
      <c r="A1" s="230" t="s">
        <v>337</v>
      </c>
      <c r="B1" s="231"/>
      <c r="D1" s="260" t="s">
        <v>345</v>
      </c>
      <c r="E1" s="260"/>
    </row>
    <row r="2" spans="1:5" s="223" customFormat="1" ht="24" customHeight="1" x14ac:dyDescent="0.25">
      <c r="A2" s="221" t="s">
        <v>334</v>
      </c>
      <c r="B2" s="222" t="s">
        <v>335</v>
      </c>
      <c r="D2" s="235" t="s">
        <v>343</v>
      </c>
      <c r="E2" s="235" t="s">
        <v>344</v>
      </c>
    </row>
    <row r="3" spans="1:5" ht="15" customHeight="1" x14ac:dyDescent="0.25">
      <c r="A3" s="224" t="s">
        <v>318</v>
      </c>
      <c r="B3" s="238">
        <v>800</v>
      </c>
      <c r="D3" s="234">
        <v>800</v>
      </c>
      <c r="E3" s="234">
        <v>1200</v>
      </c>
    </row>
    <row r="4" spans="1:5" ht="15" customHeight="1" x14ac:dyDescent="0.25">
      <c r="A4" s="224" t="s">
        <v>320</v>
      </c>
      <c r="B4" s="238">
        <v>1000</v>
      </c>
      <c r="D4" s="234">
        <v>1000</v>
      </c>
      <c r="E4" s="234">
        <v>1500</v>
      </c>
    </row>
    <row r="5" spans="1:5" ht="15" customHeight="1" x14ac:dyDescent="0.25">
      <c r="A5" s="224" t="s">
        <v>321</v>
      </c>
      <c r="B5" s="238">
        <v>360</v>
      </c>
      <c r="D5" s="234">
        <v>360</v>
      </c>
      <c r="E5" s="234">
        <v>450</v>
      </c>
    </row>
    <row r="6" spans="1:5" x14ac:dyDescent="0.25">
      <c r="A6" s="224" t="s">
        <v>330</v>
      </c>
      <c r="B6" s="238">
        <v>2000</v>
      </c>
      <c r="D6" s="234">
        <v>1500</v>
      </c>
      <c r="E6" s="234">
        <v>2500</v>
      </c>
    </row>
    <row r="7" spans="1:5" x14ac:dyDescent="0.25">
      <c r="A7" s="224" t="s">
        <v>331</v>
      </c>
      <c r="B7" s="238">
        <v>1500</v>
      </c>
      <c r="D7" s="234">
        <v>1200</v>
      </c>
      <c r="E7" s="234">
        <v>1800</v>
      </c>
    </row>
    <row r="8" spans="1:5" x14ac:dyDescent="0.25">
      <c r="A8" s="224" t="s">
        <v>332</v>
      </c>
      <c r="B8" s="238">
        <v>200</v>
      </c>
      <c r="D8" s="234">
        <v>200</v>
      </c>
      <c r="E8" s="234">
        <v>300</v>
      </c>
    </row>
    <row r="9" spans="1:5" x14ac:dyDescent="0.25">
      <c r="A9" s="224" t="s">
        <v>325</v>
      </c>
      <c r="B9" s="238">
        <v>2250</v>
      </c>
      <c r="D9" s="234">
        <v>1800</v>
      </c>
      <c r="E9" s="234">
        <v>2700</v>
      </c>
    </row>
    <row r="10" spans="1:5" x14ac:dyDescent="0.25">
      <c r="A10" s="224" t="s">
        <v>326</v>
      </c>
      <c r="B10" s="238">
        <v>7500</v>
      </c>
      <c r="D10" s="234">
        <v>6000</v>
      </c>
      <c r="E10" s="234">
        <v>9000</v>
      </c>
    </row>
    <row r="11" spans="1:5" x14ac:dyDescent="0.25">
      <c r="A11" s="224" t="s">
        <v>327</v>
      </c>
      <c r="B11" s="238">
        <v>145</v>
      </c>
      <c r="D11" s="234">
        <v>130</v>
      </c>
      <c r="E11" s="234">
        <v>160</v>
      </c>
    </row>
    <row r="12" spans="1:5" x14ac:dyDescent="0.25">
      <c r="A12" s="224" t="s">
        <v>328</v>
      </c>
      <c r="B12" s="238">
        <f>(D12+E12)/2</f>
        <v>340</v>
      </c>
      <c r="D12" s="234">
        <v>300</v>
      </c>
      <c r="E12" s="234">
        <v>380</v>
      </c>
    </row>
    <row r="13" spans="1:5" x14ac:dyDescent="0.25">
      <c r="A13" s="224" t="s">
        <v>338</v>
      </c>
      <c r="B13" s="238">
        <f>(D13+E13)/2</f>
        <v>340</v>
      </c>
      <c r="D13" s="234">
        <v>300</v>
      </c>
      <c r="E13" s="234">
        <v>380</v>
      </c>
    </row>
    <row r="14" spans="1:5" x14ac:dyDescent="0.25">
      <c r="A14" s="229"/>
      <c r="B14" s="232"/>
    </row>
    <row r="15" spans="1:5" x14ac:dyDescent="0.25">
      <c r="A15" s="230" t="s">
        <v>339</v>
      </c>
      <c r="B15" s="226"/>
      <c r="D15" s="260" t="s">
        <v>345</v>
      </c>
      <c r="E15" s="260"/>
    </row>
    <row r="16" spans="1:5" s="223" customFormat="1" ht="27" customHeight="1" x14ac:dyDescent="0.25">
      <c r="A16" s="221" t="s">
        <v>334</v>
      </c>
      <c r="B16" s="222" t="s">
        <v>336</v>
      </c>
      <c r="D16" s="235" t="s">
        <v>343</v>
      </c>
      <c r="E16" s="235" t="s">
        <v>344</v>
      </c>
    </row>
    <row r="17" spans="1:5" x14ac:dyDescent="0.25">
      <c r="A17" s="224" t="s">
        <v>318</v>
      </c>
      <c r="B17" s="238">
        <f t="shared" ref="B17:B27" si="0">5*B3</f>
        <v>4000</v>
      </c>
      <c r="D17" s="234">
        <f>800*5</f>
        <v>4000</v>
      </c>
      <c r="E17" s="234">
        <f>1200*5</f>
        <v>6000</v>
      </c>
    </row>
    <row r="18" spans="1:5" x14ac:dyDescent="0.25">
      <c r="A18" s="224" t="s">
        <v>320</v>
      </c>
      <c r="B18" s="238">
        <f t="shared" si="0"/>
        <v>5000</v>
      </c>
      <c r="D18" s="234">
        <f>1000*5</f>
        <v>5000</v>
      </c>
      <c r="E18" s="234">
        <f>1500*5</f>
        <v>7500</v>
      </c>
    </row>
    <row r="19" spans="1:5" x14ac:dyDescent="0.25">
      <c r="A19" s="224" t="s">
        <v>321</v>
      </c>
      <c r="B19" s="238">
        <f t="shared" si="0"/>
        <v>1800</v>
      </c>
      <c r="D19" s="234">
        <f>360*5</f>
        <v>1800</v>
      </c>
      <c r="E19" s="234">
        <f>450*5</f>
        <v>2250</v>
      </c>
    </row>
    <row r="20" spans="1:5" x14ac:dyDescent="0.25">
      <c r="A20" s="224" t="s">
        <v>330</v>
      </c>
      <c r="B20" s="238">
        <f t="shared" si="0"/>
        <v>10000</v>
      </c>
      <c r="D20" s="234">
        <f>1500*5</f>
        <v>7500</v>
      </c>
      <c r="E20" s="234">
        <f>2500*5</f>
        <v>12500</v>
      </c>
    </row>
    <row r="21" spans="1:5" x14ac:dyDescent="0.25">
      <c r="A21" s="224" t="s">
        <v>331</v>
      </c>
      <c r="B21" s="238">
        <f t="shared" si="0"/>
        <v>7500</v>
      </c>
      <c r="D21" s="234">
        <f>1200*5</f>
        <v>6000</v>
      </c>
      <c r="E21" s="234">
        <f>1800*5</f>
        <v>9000</v>
      </c>
    </row>
    <row r="22" spans="1:5" x14ac:dyDescent="0.25">
      <c r="A22" s="224" t="s">
        <v>332</v>
      </c>
      <c r="B22" s="238">
        <f t="shared" si="0"/>
        <v>1000</v>
      </c>
      <c r="D22" s="234">
        <f>200*5</f>
        <v>1000</v>
      </c>
      <c r="E22" s="234">
        <f>300*5</f>
        <v>1500</v>
      </c>
    </row>
    <row r="23" spans="1:5" x14ac:dyDescent="0.25">
      <c r="A23" s="224" t="s">
        <v>325</v>
      </c>
      <c r="B23" s="238">
        <f t="shared" si="0"/>
        <v>11250</v>
      </c>
      <c r="D23" s="234">
        <f>1800*5</f>
        <v>9000</v>
      </c>
      <c r="E23" s="234">
        <f>2700*5</f>
        <v>13500</v>
      </c>
    </row>
    <row r="24" spans="1:5" x14ac:dyDescent="0.25">
      <c r="A24" s="224" t="s">
        <v>326</v>
      </c>
      <c r="B24" s="238">
        <f t="shared" si="0"/>
        <v>37500</v>
      </c>
      <c r="D24" s="234">
        <f>6000*5</f>
        <v>30000</v>
      </c>
      <c r="E24" s="234">
        <f>9000*5</f>
        <v>45000</v>
      </c>
    </row>
    <row r="25" spans="1:5" x14ac:dyDescent="0.25">
      <c r="A25" s="224" t="s">
        <v>327</v>
      </c>
      <c r="B25" s="238">
        <f t="shared" si="0"/>
        <v>725</v>
      </c>
      <c r="D25" s="234">
        <f>130*5</f>
        <v>650</v>
      </c>
      <c r="E25" s="234">
        <f>160*5</f>
        <v>800</v>
      </c>
    </row>
    <row r="26" spans="1:5" x14ac:dyDescent="0.25">
      <c r="A26" s="224" t="s">
        <v>328</v>
      </c>
      <c r="B26" s="238">
        <f t="shared" si="0"/>
        <v>1700</v>
      </c>
      <c r="D26" s="234">
        <f>300*5</f>
        <v>1500</v>
      </c>
      <c r="E26" s="234">
        <f>380*5</f>
        <v>1900</v>
      </c>
    </row>
    <row r="27" spans="1:5" x14ac:dyDescent="0.25">
      <c r="A27" s="224" t="s">
        <v>338</v>
      </c>
      <c r="B27" s="238">
        <f t="shared" si="0"/>
        <v>1700</v>
      </c>
      <c r="D27" s="234">
        <f>300*5</f>
        <v>1500</v>
      </c>
      <c r="E27" s="234">
        <f>380*5</f>
        <v>1900</v>
      </c>
    </row>
    <row r="28" spans="1:5" x14ac:dyDescent="0.25">
      <c r="A28" s="229"/>
      <c r="B28" s="232"/>
    </row>
    <row r="29" spans="1:5" x14ac:dyDescent="0.25">
      <c r="A29" s="230" t="s">
        <v>340</v>
      </c>
      <c r="B29" s="226"/>
      <c r="D29" s="260" t="s">
        <v>345</v>
      </c>
      <c r="E29" s="260"/>
    </row>
    <row r="30" spans="1:5" ht="27.75" customHeight="1" x14ac:dyDescent="0.25">
      <c r="A30" s="221" t="s">
        <v>334</v>
      </c>
      <c r="B30" s="222" t="s">
        <v>341</v>
      </c>
      <c r="D30" s="235" t="s">
        <v>343</v>
      </c>
      <c r="E30" s="235" t="s">
        <v>344</v>
      </c>
    </row>
    <row r="31" spans="1:5" x14ac:dyDescent="0.25">
      <c r="A31" s="224" t="s">
        <v>318</v>
      </c>
      <c r="B31" s="238">
        <f t="shared" ref="B31:B41" si="1">22*B3</f>
        <v>17600</v>
      </c>
      <c r="D31" s="234">
        <f>800*22</f>
        <v>17600</v>
      </c>
      <c r="E31" s="234">
        <f>1200*22</f>
        <v>26400</v>
      </c>
    </row>
    <row r="32" spans="1:5" x14ac:dyDescent="0.25">
      <c r="A32" s="224" t="s">
        <v>320</v>
      </c>
      <c r="B32" s="238">
        <f t="shared" si="1"/>
        <v>22000</v>
      </c>
      <c r="D32" s="234">
        <f>1000*22</f>
        <v>22000</v>
      </c>
      <c r="E32" s="234">
        <f>1500*22</f>
        <v>33000</v>
      </c>
    </row>
    <row r="33" spans="1:5" x14ac:dyDescent="0.25">
      <c r="A33" s="224" t="s">
        <v>321</v>
      </c>
      <c r="B33" s="238">
        <f t="shared" si="1"/>
        <v>7920</v>
      </c>
      <c r="D33" s="234">
        <f>360*22</f>
        <v>7920</v>
      </c>
      <c r="E33" s="234">
        <f>450*22</f>
        <v>9900</v>
      </c>
    </row>
    <row r="34" spans="1:5" x14ac:dyDescent="0.25">
      <c r="A34" s="224" t="s">
        <v>330</v>
      </c>
      <c r="B34" s="238">
        <f t="shared" si="1"/>
        <v>44000</v>
      </c>
      <c r="D34" s="234">
        <f>1500*22</f>
        <v>33000</v>
      </c>
      <c r="E34" s="234">
        <f>2500*22</f>
        <v>55000</v>
      </c>
    </row>
    <row r="35" spans="1:5" x14ac:dyDescent="0.25">
      <c r="A35" s="224" t="s">
        <v>331</v>
      </c>
      <c r="B35" s="238">
        <f t="shared" si="1"/>
        <v>33000</v>
      </c>
      <c r="D35" s="234">
        <f>1200*22</f>
        <v>26400</v>
      </c>
      <c r="E35" s="234">
        <f>1800*22</f>
        <v>39600</v>
      </c>
    </row>
    <row r="36" spans="1:5" x14ac:dyDescent="0.25">
      <c r="A36" s="224" t="s">
        <v>332</v>
      </c>
      <c r="B36" s="238">
        <f t="shared" si="1"/>
        <v>4400</v>
      </c>
      <c r="D36" s="234">
        <f>200*22</f>
        <v>4400</v>
      </c>
      <c r="E36" s="234">
        <f>300*22</f>
        <v>6600</v>
      </c>
    </row>
    <row r="37" spans="1:5" x14ac:dyDescent="0.25">
      <c r="A37" s="224" t="s">
        <v>325</v>
      </c>
      <c r="B37" s="238">
        <f t="shared" si="1"/>
        <v>49500</v>
      </c>
      <c r="D37" s="234">
        <f>1800*22</f>
        <v>39600</v>
      </c>
      <c r="E37" s="234">
        <f>2700*22</f>
        <v>59400</v>
      </c>
    </row>
    <row r="38" spans="1:5" x14ac:dyDescent="0.25">
      <c r="A38" s="224" t="s">
        <v>326</v>
      </c>
      <c r="B38" s="238">
        <f t="shared" si="1"/>
        <v>165000</v>
      </c>
      <c r="D38" s="234">
        <f>6000*22</f>
        <v>132000</v>
      </c>
      <c r="E38" s="234">
        <f>9000*22</f>
        <v>198000</v>
      </c>
    </row>
    <row r="39" spans="1:5" x14ac:dyDescent="0.25">
      <c r="A39" s="237" t="s">
        <v>327</v>
      </c>
      <c r="B39" s="238">
        <f t="shared" si="1"/>
        <v>3190</v>
      </c>
      <c r="D39" s="234">
        <f>130*22</f>
        <v>2860</v>
      </c>
      <c r="E39" s="234">
        <f>160*22</f>
        <v>3520</v>
      </c>
    </row>
    <row r="40" spans="1:5" x14ac:dyDescent="0.25">
      <c r="A40" s="237" t="s">
        <v>328</v>
      </c>
      <c r="B40" s="238">
        <f t="shared" si="1"/>
        <v>7480</v>
      </c>
      <c r="D40" s="234">
        <f>300*22</f>
        <v>6600</v>
      </c>
      <c r="E40" s="234">
        <f>380*22</f>
        <v>8360</v>
      </c>
    </row>
    <row r="41" spans="1:5" x14ac:dyDescent="0.25">
      <c r="A41" s="237" t="s">
        <v>338</v>
      </c>
      <c r="B41" s="238">
        <f t="shared" si="1"/>
        <v>7480</v>
      </c>
      <c r="D41" s="234">
        <f>300*22</f>
        <v>6600</v>
      </c>
      <c r="E41" s="234">
        <f>380*22</f>
        <v>8360</v>
      </c>
    </row>
    <row r="42" spans="1:5" x14ac:dyDescent="0.25">
      <c r="A42" s="230"/>
      <c r="B42" s="231"/>
    </row>
  </sheetData>
  <mergeCells count="3">
    <mergeCell ref="D15:E15"/>
    <mergeCell ref="D29:E29"/>
    <mergeCell ref="D1:E1"/>
  </mergeCells>
  <printOptions horizontalCentered="1" verticalCentered="1"/>
  <pageMargins left="0.23622047244094491" right="0.23622047244094491" top="0.74803149606299213" bottom="0.74803149606299213" header="0.31496062992125984" footer="0.31496062992125984"/>
  <pageSetup paperSize="9" scale="7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pageSetUpPr fitToPage="1"/>
  </sheetPr>
  <dimension ref="A1:G22"/>
  <sheetViews>
    <sheetView showGridLines="0" view="pageBreakPreview" zoomScaleNormal="90" zoomScaleSheetLayoutView="100" workbookViewId="0">
      <selection activeCell="D14" sqref="D14"/>
    </sheetView>
  </sheetViews>
  <sheetFormatPr defaultColWidth="38.42578125" defaultRowHeight="15" x14ac:dyDescent="0.25"/>
  <cols>
    <col min="1" max="1" width="5.42578125" bestFit="1" customWidth="1"/>
    <col min="2" max="2" width="49" customWidth="1"/>
    <col min="3" max="3" width="9.140625" bestFit="1" customWidth="1"/>
    <col min="4" max="4" width="19.85546875" customWidth="1"/>
    <col min="5" max="5" width="13.5703125" customWidth="1"/>
    <col min="6" max="6" width="17.28515625" customWidth="1"/>
    <col min="7" max="7" width="13.5703125" customWidth="1"/>
  </cols>
  <sheetData>
    <row r="1" spans="1:7" x14ac:dyDescent="0.25">
      <c r="A1" s="306" t="s">
        <v>410</v>
      </c>
      <c r="B1" s="306"/>
      <c r="C1" s="306"/>
      <c r="D1" s="306"/>
      <c r="E1" s="306"/>
      <c r="F1" s="306"/>
      <c r="G1" s="306"/>
    </row>
    <row r="2" spans="1:7" x14ac:dyDescent="0.25">
      <c r="A2" s="306" t="s">
        <v>245</v>
      </c>
      <c r="B2" s="306"/>
      <c r="C2" s="306"/>
      <c r="D2" s="306"/>
      <c r="E2" s="306"/>
      <c r="F2" s="306"/>
      <c r="G2" s="306"/>
    </row>
    <row r="3" spans="1:7" s="100" customFormat="1" ht="25.5" x14ac:dyDescent="0.2">
      <c r="A3" s="25" t="s">
        <v>122</v>
      </c>
      <c r="B3" s="26" t="s">
        <v>148</v>
      </c>
      <c r="C3" s="25" t="s">
        <v>149</v>
      </c>
      <c r="D3" s="24" t="s">
        <v>261</v>
      </c>
      <c r="E3" s="8" t="s">
        <v>152</v>
      </c>
      <c r="F3" s="8" t="s">
        <v>255</v>
      </c>
      <c r="G3" s="8" t="s">
        <v>153</v>
      </c>
    </row>
    <row r="4" spans="1:7" s="100" customFormat="1" ht="12.75" x14ac:dyDescent="0.2">
      <c r="A4" s="128">
        <v>1</v>
      </c>
      <c r="B4" s="100" t="s">
        <v>258</v>
      </c>
      <c r="C4" s="128" t="s">
        <v>126</v>
      </c>
      <c r="D4" s="128">
        <v>3</v>
      </c>
      <c r="E4" s="255"/>
      <c r="F4" s="130">
        <f>E4*D4</f>
        <v>0</v>
      </c>
      <c r="G4" s="130" t="e">
        <f>F4/'Comp. Hom-Mês-Serv. DIÁRIA'!$E$14</f>
        <v>#DIV/0!</v>
      </c>
    </row>
    <row r="5" spans="1:7" s="100" customFormat="1" ht="12.75" x14ac:dyDescent="0.2">
      <c r="A5" s="128">
        <v>2</v>
      </c>
      <c r="B5" s="129" t="s">
        <v>259</v>
      </c>
      <c r="C5" s="128" t="s">
        <v>126</v>
      </c>
      <c r="D5" s="128">
        <v>3</v>
      </c>
      <c r="E5" s="255"/>
      <c r="F5" s="130">
        <f>E5*D5</f>
        <v>0</v>
      </c>
      <c r="G5" s="130" t="e">
        <f>F5/'Comp. Hom-Mês-Serv. DIÁRIA'!$E$14</f>
        <v>#DIV/0!</v>
      </c>
    </row>
    <row r="6" spans="1:7" s="100" customFormat="1" ht="25.5" x14ac:dyDescent="0.2">
      <c r="A6" s="128">
        <v>3</v>
      </c>
      <c r="B6" s="129" t="s">
        <v>265</v>
      </c>
      <c r="C6" s="128" t="s">
        <v>150</v>
      </c>
      <c r="D6" s="128">
        <v>3</v>
      </c>
      <c r="E6" s="255"/>
      <c r="F6" s="130">
        <f>E6*D6</f>
        <v>0</v>
      </c>
      <c r="G6" s="130" t="e">
        <f>F6/'Comp. Hom-Mês-Serv. DIÁRIA'!$E$14</f>
        <v>#DIV/0!</v>
      </c>
    </row>
    <row r="7" spans="1:7" s="100" customFormat="1" ht="12.75" x14ac:dyDescent="0.2">
      <c r="A7" s="128">
        <v>4</v>
      </c>
      <c r="B7" s="129" t="s">
        <v>260</v>
      </c>
      <c r="C7" s="128" t="s">
        <v>150</v>
      </c>
      <c r="D7" s="128">
        <v>6</v>
      </c>
      <c r="E7" s="255"/>
      <c r="F7" s="130">
        <f>E7*D7</f>
        <v>0</v>
      </c>
      <c r="G7" s="130" t="e">
        <f>F7/'Comp. Hom-Mês-Serv. DIÁRIA'!$E$14</f>
        <v>#DIV/0!</v>
      </c>
    </row>
    <row r="8" spans="1:7" s="100" customFormat="1" ht="12.75" x14ac:dyDescent="0.2">
      <c r="A8" s="128">
        <v>5</v>
      </c>
      <c r="B8" s="129" t="s">
        <v>266</v>
      </c>
      <c r="C8" s="128" t="s">
        <v>150</v>
      </c>
      <c r="D8" s="128">
        <v>12</v>
      </c>
      <c r="E8" s="255"/>
      <c r="F8" s="130">
        <f>E8*D8</f>
        <v>0</v>
      </c>
      <c r="G8" s="130" t="e">
        <f>F8/'Comp. Hom-Mês-Serv. DIÁRIA'!$E$14</f>
        <v>#DIV/0!</v>
      </c>
    </row>
    <row r="9" spans="1:7" s="100" customFormat="1" ht="12.75" x14ac:dyDescent="0.2">
      <c r="A9" s="128">
        <v>6</v>
      </c>
      <c r="B9" s="129" t="s">
        <v>409</v>
      </c>
      <c r="C9" s="128" t="s">
        <v>126</v>
      </c>
      <c r="D9" s="128">
        <v>1</v>
      </c>
      <c r="E9" s="255"/>
      <c r="F9" s="130">
        <f t="shared" ref="F9" si="0">E9*D9</f>
        <v>0</v>
      </c>
      <c r="G9" s="130" t="e">
        <f>F9/'Comp. Hom-Mês-Serv. DIÁRIA'!$E$14</f>
        <v>#DIV/0!</v>
      </c>
    </row>
    <row r="10" spans="1:7" s="100" customFormat="1" ht="63.75" x14ac:dyDescent="0.2">
      <c r="A10" s="128">
        <v>7</v>
      </c>
      <c r="B10" s="257" t="s">
        <v>402</v>
      </c>
      <c r="C10" s="128" t="s">
        <v>126</v>
      </c>
      <c r="D10" s="128">
        <f>6*4</f>
        <v>24</v>
      </c>
      <c r="E10" s="255"/>
      <c r="F10" s="130">
        <f t="shared" ref="F10:F16" si="1">E10*D10/17</f>
        <v>0</v>
      </c>
      <c r="G10" s="130" t="e">
        <f>F10/'Comp. Hom-Mês-Serv. DIÁRIA'!$E$14</f>
        <v>#DIV/0!</v>
      </c>
    </row>
    <row r="11" spans="1:7" s="100" customFormat="1" ht="127.5" x14ac:dyDescent="0.2">
      <c r="A11" s="128">
        <v>8</v>
      </c>
      <c r="B11" s="257" t="s">
        <v>403</v>
      </c>
      <c r="C11" s="128" t="s">
        <v>126</v>
      </c>
      <c r="D11" s="128">
        <f>2*4</f>
        <v>8</v>
      </c>
      <c r="E11" s="255"/>
      <c r="F11" s="130">
        <f t="shared" si="1"/>
        <v>0</v>
      </c>
      <c r="G11" s="130" t="e">
        <f>F11/'Comp. Hom-Mês-Serv. DIÁRIA'!$E$14</f>
        <v>#DIV/0!</v>
      </c>
    </row>
    <row r="12" spans="1:7" s="100" customFormat="1" ht="114.75" x14ac:dyDescent="0.2">
      <c r="A12" s="128">
        <v>9</v>
      </c>
      <c r="B12" s="257" t="s">
        <v>404</v>
      </c>
      <c r="C12" s="128" t="s">
        <v>126</v>
      </c>
      <c r="D12" s="128">
        <f>2*4</f>
        <v>8</v>
      </c>
      <c r="E12" s="255"/>
      <c r="F12" s="130">
        <f t="shared" si="1"/>
        <v>0</v>
      </c>
      <c r="G12" s="130" t="e">
        <f>F12/'Comp. Hom-Mês-Serv. DIÁRIA'!$E$14</f>
        <v>#DIV/0!</v>
      </c>
    </row>
    <row r="13" spans="1:7" s="100" customFormat="1" ht="76.5" x14ac:dyDescent="0.2">
      <c r="A13" s="128">
        <v>10</v>
      </c>
      <c r="B13" s="257" t="s">
        <v>405</v>
      </c>
      <c r="C13" s="128" t="s">
        <v>126</v>
      </c>
      <c r="D13" s="128">
        <f>2*4</f>
        <v>8</v>
      </c>
      <c r="E13" s="255"/>
      <c r="F13" s="130">
        <f t="shared" si="1"/>
        <v>0</v>
      </c>
      <c r="G13" s="130" t="e">
        <f>F13/'Comp. Hom-Mês-Serv. DIÁRIA'!$E$14</f>
        <v>#DIV/0!</v>
      </c>
    </row>
    <row r="14" spans="1:7" s="100" customFormat="1" ht="89.25" x14ac:dyDescent="0.2">
      <c r="A14" s="128">
        <v>11</v>
      </c>
      <c r="B14" s="257" t="s">
        <v>406</v>
      </c>
      <c r="C14" s="128" t="s">
        <v>150</v>
      </c>
      <c r="D14" s="128">
        <f>2*4</f>
        <v>8</v>
      </c>
      <c r="E14" s="255"/>
      <c r="F14" s="130">
        <f t="shared" si="1"/>
        <v>0</v>
      </c>
      <c r="G14" s="130" t="e">
        <f>F14/'Comp. Hom-Mês-Serv. DIÁRIA'!$E$14</f>
        <v>#DIV/0!</v>
      </c>
    </row>
    <row r="15" spans="1:7" s="100" customFormat="1" ht="63.75" x14ac:dyDescent="0.2">
      <c r="A15" s="128">
        <v>12</v>
      </c>
      <c r="B15" s="257" t="s">
        <v>407</v>
      </c>
      <c r="C15" s="128" t="s">
        <v>150</v>
      </c>
      <c r="D15" s="128">
        <f>4*4</f>
        <v>16</v>
      </c>
      <c r="E15" s="255"/>
      <c r="F15" s="130">
        <f t="shared" si="1"/>
        <v>0</v>
      </c>
      <c r="G15" s="130" t="e">
        <f>F15/'Comp. Hom-Mês-Serv. DIÁRIA'!$E$14</f>
        <v>#DIV/0!</v>
      </c>
    </row>
    <row r="16" spans="1:7" s="100" customFormat="1" ht="63.75" x14ac:dyDescent="0.2">
      <c r="A16" s="128">
        <v>13</v>
      </c>
      <c r="B16" s="257" t="s">
        <v>366</v>
      </c>
      <c r="C16" s="128" t="s">
        <v>150</v>
      </c>
      <c r="D16" s="128">
        <f>2*4</f>
        <v>8</v>
      </c>
      <c r="E16" s="255"/>
      <c r="F16" s="130">
        <f t="shared" si="1"/>
        <v>0</v>
      </c>
      <c r="G16" s="130" t="e">
        <f>F16/'Comp. Hom-Mês-Serv. DIÁRIA'!$E$14</f>
        <v>#DIV/0!</v>
      </c>
    </row>
    <row r="17" spans="1:7" s="100" customFormat="1" ht="76.5" x14ac:dyDescent="0.2">
      <c r="A17" s="128">
        <v>14</v>
      </c>
      <c r="B17" s="258" t="s">
        <v>408</v>
      </c>
      <c r="C17" s="128" t="s">
        <v>126</v>
      </c>
      <c r="D17" s="128">
        <f>2*4</f>
        <v>8</v>
      </c>
      <c r="E17" s="255"/>
      <c r="F17" s="130">
        <f>E17*D17/17</f>
        <v>0</v>
      </c>
      <c r="G17" s="130" t="e">
        <f>F17/'Comp. Hom-Mês-Serv. DIÁRIA'!$E$14</f>
        <v>#DIV/0!</v>
      </c>
    </row>
    <row r="18" spans="1:7" s="100" customFormat="1" ht="24" customHeight="1" x14ac:dyDescent="0.2">
      <c r="D18" s="102"/>
      <c r="E18" s="97" t="s">
        <v>113</v>
      </c>
      <c r="F18" s="103">
        <f>SUM(F4:F17)</f>
        <v>0</v>
      </c>
      <c r="G18" s="103" t="e">
        <f>SUM(G4:G17)</f>
        <v>#DIV/0!</v>
      </c>
    </row>
    <row r="20" spans="1:7" x14ac:dyDescent="0.25">
      <c r="D20" s="173"/>
    </row>
    <row r="21" spans="1:7" x14ac:dyDescent="0.25">
      <c r="D21" s="173"/>
    </row>
    <row r="22" spans="1:7" x14ac:dyDescent="0.25">
      <c r="D22" s="173"/>
    </row>
  </sheetData>
  <mergeCells count="2">
    <mergeCell ref="A1:G1"/>
    <mergeCell ref="A2:G2"/>
  </mergeCells>
  <pageMargins left="0.511811024" right="0.511811024" top="0.78740157499999996" bottom="0.78740157499999996" header="0.31496062000000002" footer="0.31496062000000002"/>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75F2-FAC2-4F98-9CF2-ABE545BBE5CF}">
  <sheetPr>
    <pageSetUpPr fitToPage="1"/>
  </sheetPr>
  <dimension ref="A2:L62"/>
  <sheetViews>
    <sheetView showGridLines="0" view="pageBreakPreview" topLeftCell="A4" zoomScaleNormal="100" zoomScaleSheetLayoutView="100" workbookViewId="0">
      <selection activeCell="B17" sqref="B17:E17"/>
    </sheetView>
  </sheetViews>
  <sheetFormatPr defaultRowHeight="15" x14ac:dyDescent="0.25"/>
  <cols>
    <col min="1" max="1" width="6.28515625" style="171" customWidth="1"/>
    <col min="2" max="2" width="22" style="228" customWidth="1"/>
    <col min="3" max="3" width="11.5703125" style="227" customWidth="1"/>
    <col min="4" max="4" width="11.7109375" style="227" customWidth="1"/>
    <col min="5" max="5" width="16.5703125" style="171" customWidth="1"/>
    <col min="6" max="6" width="8.7109375" style="171" bestFit="1" customWidth="1"/>
    <col min="7" max="11" width="9.140625" style="171"/>
    <col min="12" max="12" width="13.28515625" style="171" bestFit="1" customWidth="1"/>
    <col min="13" max="16384" width="9.140625" style="171"/>
  </cols>
  <sheetData>
    <row r="2" spans="1:11" ht="15" customHeight="1" x14ac:dyDescent="0.25">
      <c r="A2" s="282" t="s">
        <v>348</v>
      </c>
      <c r="B2" s="283"/>
      <c r="C2" s="283"/>
      <c r="D2" s="283"/>
      <c r="E2" s="283"/>
      <c r="F2" s="283"/>
      <c r="G2" s="283"/>
      <c r="H2" s="283"/>
      <c r="I2" s="283"/>
      <c r="J2" s="283"/>
      <c r="K2" s="284"/>
    </row>
    <row r="3" spans="1:11" ht="15" customHeight="1" x14ac:dyDescent="0.25">
      <c r="A3" s="274"/>
      <c r="B3" s="275" t="s">
        <v>119</v>
      </c>
      <c r="C3" s="275"/>
      <c r="D3" s="275"/>
      <c r="E3" s="275"/>
      <c r="F3" s="276" t="s">
        <v>184</v>
      </c>
      <c r="G3" s="277"/>
      <c r="H3" s="276" t="s">
        <v>185</v>
      </c>
      <c r="I3" s="277"/>
      <c r="J3" s="276" t="s">
        <v>158</v>
      </c>
      <c r="K3" s="277"/>
    </row>
    <row r="4" spans="1:11" ht="15" customHeight="1" x14ac:dyDescent="0.25">
      <c r="A4" s="274"/>
      <c r="B4" s="275"/>
      <c r="C4" s="275"/>
      <c r="D4" s="275"/>
      <c r="E4" s="275"/>
      <c r="F4" s="272" t="s">
        <v>29</v>
      </c>
      <c r="G4" s="273"/>
      <c r="H4" s="272" t="s">
        <v>29</v>
      </c>
      <c r="I4" s="273"/>
      <c r="J4" s="272" t="s">
        <v>29</v>
      </c>
      <c r="K4" s="273"/>
    </row>
    <row r="5" spans="1:11" ht="15" customHeight="1" x14ac:dyDescent="0.25">
      <c r="A5" s="281" t="s">
        <v>4</v>
      </c>
      <c r="B5" s="266" t="s">
        <v>354</v>
      </c>
      <c r="C5" s="267"/>
      <c r="D5" s="267"/>
      <c r="E5" s="268"/>
      <c r="F5" s="264" t="e">
        <f>'Comp. Hom-Mês-Serv. DIÁRIA'!D176</f>
        <v>#DIV/0!</v>
      </c>
      <c r="G5" s="265"/>
      <c r="H5" s="264" t="e">
        <f>'Comp. Hom-Mês-Serv. DIÁRIA'!E176</f>
        <v>#DIV/0!</v>
      </c>
      <c r="I5" s="265"/>
      <c r="J5" s="264" t="e">
        <f>'Comp. Hom-Mês-Serv. DIÁRIA'!F176</f>
        <v>#DIV/0!</v>
      </c>
      <c r="K5" s="265"/>
    </row>
    <row r="6" spans="1:11" ht="15" customHeight="1" x14ac:dyDescent="0.25">
      <c r="A6" s="281"/>
      <c r="B6" s="278" t="s">
        <v>349</v>
      </c>
      <c r="C6" s="279"/>
      <c r="D6" s="279"/>
      <c r="E6" s="280"/>
      <c r="F6" s="264" t="e">
        <f>'Comp. Hom-Mês-Serv. DIÁRIA'!F268:G268</f>
        <v>#DIV/0!</v>
      </c>
      <c r="G6" s="265"/>
      <c r="H6" s="264" t="e">
        <f>'Comp. Hom-Mês-Serv. DIÁRIA'!H268:I268</f>
        <v>#DIV/0!</v>
      </c>
      <c r="I6" s="265"/>
      <c r="J6" s="264" t="e">
        <f>'Comp. Hom-Mês-Serv. DIÁRIA'!J268:K268</f>
        <v>#DIV/0!</v>
      </c>
      <c r="K6" s="265"/>
    </row>
    <row r="7" spans="1:11" ht="15" customHeight="1" x14ac:dyDescent="0.25">
      <c r="A7" s="281"/>
      <c r="B7" s="278" t="s">
        <v>355</v>
      </c>
      <c r="C7" s="279"/>
      <c r="D7" s="279"/>
      <c r="E7" s="280"/>
      <c r="F7" s="264" t="e">
        <f>F6*12</f>
        <v>#DIV/0!</v>
      </c>
      <c r="G7" s="265"/>
      <c r="H7" s="264" t="e">
        <f>H6*12</f>
        <v>#DIV/0!</v>
      </c>
      <c r="I7" s="265"/>
      <c r="J7" s="264" t="e">
        <f>J6*12</f>
        <v>#DIV/0!</v>
      </c>
      <c r="K7" s="265"/>
    </row>
    <row r="8" spans="1:11" ht="15" customHeight="1" x14ac:dyDescent="0.25">
      <c r="A8" s="281"/>
      <c r="B8" s="286" t="s">
        <v>356</v>
      </c>
      <c r="C8" s="287"/>
      <c r="D8" s="287"/>
      <c r="E8" s="287"/>
      <c r="F8" s="285" t="e">
        <f>F6/F5</f>
        <v>#DIV/0!</v>
      </c>
      <c r="G8" s="285"/>
      <c r="H8" s="285" t="e">
        <f>H6/H5</f>
        <v>#DIV/0!</v>
      </c>
      <c r="I8" s="285"/>
      <c r="J8" s="285" t="e">
        <f>J6/J5</f>
        <v>#DIV/0!</v>
      </c>
      <c r="K8" s="285"/>
    </row>
    <row r="9" spans="1:11" ht="15" customHeight="1" x14ac:dyDescent="0.25">
      <c r="A9" s="269" t="s">
        <v>6</v>
      </c>
      <c r="B9" s="266" t="s">
        <v>357</v>
      </c>
      <c r="C9" s="267"/>
      <c r="D9" s="267"/>
      <c r="E9" s="268"/>
      <c r="F9" s="264" t="e">
        <f>'Comp. Hom-Mês-Serv. SEMANAL'!D176</f>
        <v>#DIV/0!</v>
      </c>
      <c r="G9" s="265"/>
      <c r="H9" s="264" t="e">
        <f>'Comp. Hom-Mês-Serv. SEMANAL'!E176</f>
        <v>#DIV/0!</v>
      </c>
      <c r="I9" s="265"/>
      <c r="J9" s="264" t="e">
        <f>'Comp. Hom-Mês-Serv. SEMANAL'!F176</f>
        <v>#DIV/0!</v>
      </c>
      <c r="K9" s="265"/>
    </row>
    <row r="10" spans="1:11" ht="15" customHeight="1" x14ac:dyDescent="0.25">
      <c r="A10" s="270"/>
      <c r="B10" s="266" t="s">
        <v>350</v>
      </c>
      <c r="C10" s="267"/>
      <c r="D10" s="267"/>
      <c r="E10" s="268"/>
      <c r="F10" s="264" t="e">
        <f>'Comp. Hom-Mês-Serv. SEMANAL'!F268:G268</f>
        <v>#DIV/0!</v>
      </c>
      <c r="G10" s="265"/>
      <c r="H10" s="264" t="e">
        <f>'Comp. Hom-Mês-Serv. SEMANAL'!H268:I268</f>
        <v>#DIV/0!</v>
      </c>
      <c r="I10" s="265"/>
      <c r="J10" s="264" t="e">
        <f>'Comp. Hom-Mês-Serv. SEMANAL'!J268:K268</f>
        <v>#DIV/0!</v>
      </c>
      <c r="K10" s="265"/>
    </row>
    <row r="11" spans="1:11" ht="15" customHeight="1" x14ac:dyDescent="0.25">
      <c r="A11" s="270"/>
      <c r="B11" s="266" t="s">
        <v>358</v>
      </c>
      <c r="C11" s="267"/>
      <c r="D11" s="267"/>
      <c r="E11" s="268"/>
      <c r="F11" s="264" t="e">
        <f>F10*12</f>
        <v>#DIV/0!</v>
      </c>
      <c r="G11" s="265"/>
      <c r="H11" s="264" t="e">
        <f>H10*12</f>
        <v>#DIV/0!</v>
      </c>
      <c r="I11" s="265"/>
      <c r="J11" s="264" t="e">
        <f>J10*12</f>
        <v>#DIV/0!</v>
      </c>
      <c r="K11" s="265"/>
    </row>
    <row r="12" spans="1:11" ht="15" customHeight="1" x14ac:dyDescent="0.25">
      <c r="A12" s="271"/>
      <c r="B12" s="286" t="s">
        <v>359</v>
      </c>
      <c r="C12" s="287"/>
      <c r="D12" s="287"/>
      <c r="E12" s="287"/>
      <c r="F12" s="285" t="e">
        <f>F10/F9</f>
        <v>#DIV/0!</v>
      </c>
      <c r="G12" s="285"/>
      <c r="H12" s="285" t="e">
        <f>H10/H9</f>
        <v>#DIV/0!</v>
      </c>
      <c r="I12" s="285"/>
      <c r="J12" s="285" t="e">
        <f>J10/J9</f>
        <v>#DIV/0!</v>
      </c>
      <c r="K12" s="285"/>
    </row>
    <row r="13" spans="1:11" ht="15" customHeight="1" x14ac:dyDescent="0.25">
      <c r="A13" s="269" t="s">
        <v>8</v>
      </c>
      <c r="B13" s="266" t="s">
        <v>360</v>
      </c>
      <c r="C13" s="267"/>
      <c r="D13" s="267"/>
      <c r="E13" s="268"/>
      <c r="F13" s="264" t="e">
        <f>'Comp. Hom-Mês-Serv. MENSAL'!D176</f>
        <v>#DIV/0!</v>
      </c>
      <c r="G13" s="265"/>
      <c r="H13" s="264" t="e">
        <f>'Comp. Hom-Mês-Serv. MENSAL'!E176</f>
        <v>#DIV/0!</v>
      </c>
      <c r="I13" s="265"/>
      <c r="J13" s="264" t="e">
        <f>'Comp. Hom-Mês-Serv. MENSAL'!F176</f>
        <v>#DIV/0!</v>
      </c>
      <c r="K13" s="265"/>
    </row>
    <row r="14" spans="1:11" ht="15" customHeight="1" x14ac:dyDescent="0.25">
      <c r="A14" s="270"/>
      <c r="B14" s="266" t="s">
        <v>351</v>
      </c>
      <c r="C14" s="267"/>
      <c r="D14" s="267"/>
      <c r="E14" s="268"/>
      <c r="F14" s="264" t="e">
        <f>'Comp. Hom-Mês-Serv. MENSAL'!F268:G268</f>
        <v>#DIV/0!</v>
      </c>
      <c r="G14" s="265"/>
      <c r="H14" s="264" t="e">
        <f>'Comp. Hom-Mês-Serv. MENSAL'!H268:I268</f>
        <v>#DIV/0!</v>
      </c>
      <c r="I14" s="265"/>
      <c r="J14" s="264" t="e">
        <f>'Comp. Hom-Mês-Serv. MENSAL'!J268:K268</f>
        <v>#DIV/0!</v>
      </c>
      <c r="K14" s="265"/>
    </row>
    <row r="15" spans="1:11" ht="15" customHeight="1" x14ac:dyDescent="0.25">
      <c r="A15" s="270"/>
      <c r="B15" s="266" t="s">
        <v>361</v>
      </c>
      <c r="C15" s="267"/>
      <c r="D15" s="267"/>
      <c r="E15" s="268"/>
      <c r="F15" s="264" t="e">
        <f>F14*12</f>
        <v>#DIV/0!</v>
      </c>
      <c r="G15" s="265"/>
      <c r="H15" s="264" t="e">
        <f>H14*12</f>
        <v>#DIV/0!</v>
      </c>
      <c r="I15" s="265"/>
      <c r="J15" s="264" t="e">
        <f>J14*12</f>
        <v>#DIV/0!</v>
      </c>
      <c r="K15" s="265"/>
    </row>
    <row r="16" spans="1:11" ht="15" customHeight="1" x14ac:dyDescent="0.25">
      <c r="A16" s="271"/>
      <c r="B16" s="286" t="s">
        <v>362</v>
      </c>
      <c r="C16" s="287"/>
      <c r="D16" s="287"/>
      <c r="E16" s="287"/>
      <c r="F16" s="285" t="e">
        <f>F14/F13</f>
        <v>#DIV/0!</v>
      </c>
      <c r="G16" s="285"/>
      <c r="H16" s="285" t="e">
        <f>H14/H13</f>
        <v>#DIV/0!</v>
      </c>
      <c r="I16" s="285"/>
      <c r="J16" s="285" t="e">
        <f>J14/J13</f>
        <v>#DIV/0!</v>
      </c>
      <c r="K16" s="285"/>
    </row>
    <row r="17" spans="1:12" ht="47.25" customHeight="1" x14ac:dyDescent="0.25">
      <c r="A17" s="288" t="s">
        <v>10</v>
      </c>
      <c r="B17" s="261" t="s">
        <v>352</v>
      </c>
      <c r="C17" s="262"/>
      <c r="D17" s="262"/>
      <c r="E17" s="262"/>
      <c r="F17" s="263" t="e">
        <f>SUM(F8+F12+F16)</f>
        <v>#DIV/0!</v>
      </c>
      <c r="G17" s="263"/>
      <c r="H17" s="263" t="e">
        <f>SUM(H8+H12+H16)</f>
        <v>#DIV/0!</v>
      </c>
      <c r="I17" s="263"/>
      <c r="J17" s="263" t="e">
        <f>SUM(J8+J12+J16)</f>
        <v>#DIV/0!</v>
      </c>
      <c r="K17" s="263"/>
    </row>
    <row r="18" spans="1:12" ht="15.75" x14ac:dyDescent="0.25">
      <c r="A18" s="288"/>
      <c r="B18" s="291" t="s">
        <v>342</v>
      </c>
      <c r="C18" s="292"/>
      <c r="D18" s="292"/>
      <c r="E18" s="293"/>
      <c r="F18" s="289" t="e">
        <f>ROUNDUP(F17,0)</f>
        <v>#DIV/0!</v>
      </c>
      <c r="G18" s="290"/>
      <c r="H18" s="289" t="e">
        <f>ROUNDUP(H17,0)</f>
        <v>#DIV/0!</v>
      </c>
      <c r="I18" s="290"/>
      <c r="J18" s="289" t="e">
        <f>ROUNDUP(J17,0)</f>
        <v>#DIV/0!</v>
      </c>
      <c r="K18" s="294"/>
      <c r="L18" s="236"/>
    </row>
    <row r="19" spans="1:12" ht="43.5" customHeight="1" x14ac:dyDescent="0.25">
      <c r="A19" s="288"/>
      <c r="B19" s="261" t="s">
        <v>353</v>
      </c>
      <c r="C19" s="262"/>
      <c r="D19" s="262"/>
      <c r="E19" s="262"/>
      <c r="F19" s="264" t="e">
        <f>SUM(F6+F10+F14)</f>
        <v>#DIV/0!</v>
      </c>
      <c r="G19" s="265"/>
      <c r="H19" s="264" t="e">
        <f>SUM(H6+H10+H14)</f>
        <v>#DIV/0!</v>
      </c>
      <c r="I19" s="265"/>
      <c r="J19" s="264" t="e">
        <f>SUM(J6+J10+J14)</f>
        <v>#DIV/0!</v>
      </c>
      <c r="K19" s="265"/>
    </row>
    <row r="20" spans="1:12" ht="57.75" customHeight="1" x14ac:dyDescent="0.25">
      <c r="A20" s="288"/>
      <c r="B20" s="261" t="s">
        <v>363</v>
      </c>
      <c r="C20" s="262"/>
      <c r="D20" s="262"/>
      <c r="E20" s="262"/>
      <c r="F20" s="264" t="e">
        <f>SUM(F7+F11+F15)</f>
        <v>#DIV/0!</v>
      </c>
      <c r="G20" s="265"/>
      <c r="H20" s="264" t="e">
        <f>SUM(H7+H11+H15)</f>
        <v>#DIV/0!</v>
      </c>
      <c r="I20" s="265"/>
      <c r="J20" s="264" t="e">
        <f>SUM(J7+J11+J15)</f>
        <v>#DIV/0!</v>
      </c>
      <c r="K20" s="265"/>
    </row>
    <row r="21" spans="1:12" x14ac:dyDescent="0.25">
      <c r="B21" s="171"/>
      <c r="C21" s="171"/>
      <c r="D21" s="171"/>
      <c r="L21" s="233"/>
    </row>
    <row r="22" spans="1:12" x14ac:dyDescent="0.25">
      <c r="B22" s="171"/>
      <c r="C22" s="171"/>
      <c r="D22" s="171"/>
    </row>
    <row r="23" spans="1:12" x14ac:dyDescent="0.25">
      <c r="B23" s="171"/>
      <c r="C23" s="171"/>
      <c r="D23" s="171"/>
    </row>
    <row r="24" spans="1:12" ht="15" customHeight="1" x14ac:dyDescent="0.25">
      <c r="B24" s="171"/>
      <c r="C24" s="171"/>
      <c r="D24" s="171"/>
    </row>
    <row r="25" spans="1:12" s="223" customFormat="1" ht="27" customHeight="1" x14ac:dyDescent="0.25">
      <c r="A25" s="171"/>
      <c r="B25" s="171"/>
      <c r="C25" s="171"/>
      <c r="D25" s="171"/>
      <c r="E25" s="171"/>
      <c r="F25" s="171"/>
      <c r="G25" s="171"/>
    </row>
    <row r="26" spans="1:12" x14ac:dyDescent="0.25">
      <c r="B26" s="171"/>
      <c r="C26" s="171"/>
      <c r="D26" s="171"/>
    </row>
    <row r="27" spans="1:12" x14ac:dyDescent="0.25">
      <c r="B27" s="171"/>
      <c r="C27" s="171"/>
      <c r="D27" s="171"/>
    </row>
    <row r="28" spans="1:12" x14ac:dyDescent="0.25">
      <c r="B28" s="171"/>
      <c r="C28" s="171"/>
      <c r="D28" s="171"/>
    </row>
    <row r="29" spans="1:12" x14ac:dyDescent="0.25">
      <c r="B29" s="171"/>
      <c r="C29" s="171"/>
      <c r="D29" s="171"/>
    </row>
    <row r="30" spans="1:12" x14ac:dyDescent="0.25">
      <c r="B30" s="171"/>
      <c r="C30" s="171"/>
      <c r="D30" s="171"/>
    </row>
    <row r="31" spans="1:12" x14ac:dyDescent="0.25">
      <c r="B31" s="171"/>
      <c r="C31" s="171"/>
      <c r="D31" s="171"/>
    </row>
    <row r="32" spans="1:12" x14ac:dyDescent="0.25">
      <c r="B32" s="171"/>
      <c r="C32" s="171"/>
      <c r="D32" s="171"/>
    </row>
    <row r="33" s="171" customFormat="1" x14ac:dyDescent="0.25"/>
    <row r="34" s="171" customFormat="1" x14ac:dyDescent="0.25"/>
    <row r="35" s="171" customFormat="1" x14ac:dyDescent="0.25"/>
    <row r="36" s="171" customFormat="1" x14ac:dyDescent="0.25"/>
    <row r="37" s="171" customFormat="1" x14ac:dyDescent="0.25"/>
    <row r="38" s="171" customFormat="1" x14ac:dyDescent="0.25"/>
    <row r="39" s="171" customFormat="1" x14ac:dyDescent="0.25"/>
    <row r="40" s="171" customFormat="1" ht="15" customHeight="1" x14ac:dyDescent="0.25"/>
    <row r="41" s="171" customFormat="1" ht="27.75" customHeight="1" x14ac:dyDescent="0.25"/>
    <row r="42" s="171" customFormat="1" x14ac:dyDescent="0.25"/>
    <row r="43" s="171" customFormat="1" x14ac:dyDescent="0.25"/>
    <row r="44" s="171" customFormat="1" x14ac:dyDescent="0.25"/>
    <row r="45" s="171" customFormat="1" x14ac:dyDescent="0.25"/>
    <row r="46" s="171" customFormat="1" x14ac:dyDescent="0.25"/>
    <row r="47" s="171" customFormat="1" x14ac:dyDescent="0.25"/>
    <row r="48" s="171" customFormat="1" x14ac:dyDescent="0.25"/>
    <row r="49" s="171" customFormat="1" x14ac:dyDescent="0.25"/>
    <row r="50" s="171" customFormat="1" x14ac:dyDescent="0.25"/>
    <row r="51" s="171" customFormat="1" x14ac:dyDescent="0.25"/>
    <row r="52" s="171" customFormat="1" x14ac:dyDescent="0.25"/>
    <row r="53" s="171" customFormat="1" x14ac:dyDescent="0.25"/>
    <row r="54" s="171" customFormat="1" x14ac:dyDescent="0.25"/>
    <row r="55" s="171" customFormat="1" x14ac:dyDescent="0.25"/>
    <row r="56" s="171" customFormat="1" ht="15.75" customHeight="1" x14ac:dyDescent="0.25"/>
    <row r="57" s="171" customFormat="1" x14ac:dyDescent="0.25"/>
    <row r="58" s="171" customFormat="1" x14ac:dyDescent="0.25"/>
    <row r="59" s="171" customFormat="1" ht="31.5" customHeight="1" x14ac:dyDescent="0.25"/>
    <row r="60" s="171" customFormat="1" x14ac:dyDescent="0.25"/>
    <row r="61" s="171" customFormat="1" x14ac:dyDescent="0.25"/>
    <row r="62" s="171" customFormat="1" x14ac:dyDescent="0.25"/>
  </sheetData>
  <mergeCells count="77">
    <mergeCell ref="H20:I20"/>
    <mergeCell ref="J20:K20"/>
    <mergeCell ref="F14:G14"/>
    <mergeCell ref="B10:E10"/>
    <mergeCell ref="F10:G10"/>
    <mergeCell ref="H11:I11"/>
    <mergeCell ref="H16:I16"/>
    <mergeCell ref="H14:I14"/>
    <mergeCell ref="H19:I19"/>
    <mergeCell ref="J19:K19"/>
    <mergeCell ref="H15:I15"/>
    <mergeCell ref="J15:K15"/>
    <mergeCell ref="J16:K16"/>
    <mergeCell ref="J10:K10"/>
    <mergeCell ref="H18:I18"/>
    <mergeCell ref="J18:K18"/>
    <mergeCell ref="A13:A16"/>
    <mergeCell ref="A17:A20"/>
    <mergeCell ref="B19:E19"/>
    <mergeCell ref="F19:G19"/>
    <mergeCell ref="B20:E20"/>
    <mergeCell ref="F20:G20"/>
    <mergeCell ref="B15:E15"/>
    <mergeCell ref="F16:G16"/>
    <mergeCell ref="B16:E16"/>
    <mergeCell ref="B14:E14"/>
    <mergeCell ref="F15:G15"/>
    <mergeCell ref="B13:E13"/>
    <mergeCell ref="F13:G13"/>
    <mergeCell ref="F18:G18"/>
    <mergeCell ref="B18:E18"/>
    <mergeCell ref="F17:G17"/>
    <mergeCell ref="A2:K2"/>
    <mergeCell ref="F8:G8"/>
    <mergeCell ref="H8:I8"/>
    <mergeCell ref="J8:K8"/>
    <mergeCell ref="F12:G12"/>
    <mergeCell ref="H12:I12"/>
    <mergeCell ref="J12:K12"/>
    <mergeCell ref="F5:G5"/>
    <mergeCell ref="H5:I5"/>
    <mergeCell ref="J5:K5"/>
    <mergeCell ref="B8:E8"/>
    <mergeCell ref="B12:E12"/>
    <mergeCell ref="J11:K11"/>
    <mergeCell ref="B7:E7"/>
    <mergeCell ref="H3:I3"/>
    <mergeCell ref="J3:K3"/>
    <mergeCell ref="A9:A12"/>
    <mergeCell ref="H4:I4"/>
    <mergeCell ref="J4:K4"/>
    <mergeCell ref="H6:I6"/>
    <mergeCell ref="J6:K6"/>
    <mergeCell ref="J7:K7"/>
    <mergeCell ref="H7:I7"/>
    <mergeCell ref="A3:A4"/>
    <mergeCell ref="B3:E4"/>
    <mergeCell ref="F3:G3"/>
    <mergeCell ref="B6:E6"/>
    <mergeCell ref="F6:G6"/>
    <mergeCell ref="A5:A8"/>
    <mergeCell ref="F4:G4"/>
    <mergeCell ref="B5:E5"/>
    <mergeCell ref="F7:G7"/>
    <mergeCell ref="B17:E17"/>
    <mergeCell ref="H17:I17"/>
    <mergeCell ref="J17:K17"/>
    <mergeCell ref="J14:K14"/>
    <mergeCell ref="B9:E9"/>
    <mergeCell ref="F9:G9"/>
    <mergeCell ref="B11:E11"/>
    <mergeCell ref="F11:G11"/>
    <mergeCell ref="H13:I13"/>
    <mergeCell ref="J13:K13"/>
    <mergeCell ref="H9:I9"/>
    <mergeCell ref="J9:K9"/>
    <mergeCell ref="H10:I10"/>
  </mergeCells>
  <printOptions horizontalCentered="1" verticalCentered="1"/>
  <pageMargins left="0.51181102362204722" right="0.51181102362204722" top="0.78740157480314965" bottom="0.78740157480314965"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283"/>
  <sheetViews>
    <sheetView showGridLines="0" view="pageBreakPreview" zoomScale="85" zoomScaleNormal="90" zoomScaleSheetLayoutView="85" workbookViewId="0">
      <selection activeCell="A147" sqref="A147:G147"/>
    </sheetView>
  </sheetViews>
  <sheetFormatPr defaultRowHeight="12.75" x14ac:dyDescent="0.2"/>
  <cols>
    <col min="1" max="1" width="15.7109375" style="55" customWidth="1"/>
    <col min="2" max="2" width="19.28515625" style="55" customWidth="1"/>
    <col min="3" max="3" width="18.7109375" style="55" customWidth="1"/>
    <col min="4" max="4" width="17.85546875" style="55" customWidth="1"/>
    <col min="5" max="6" width="18.7109375" style="55" customWidth="1"/>
    <col min="7" max="7" width="15.7109375" style="55" customWidth="1"/>
    <col min="8" max="8" width="17.28515625" style="55" customWidth="1"/>
    <col min="9" max="11" width="15.85546875" style="55" customWidth="1"/>
    <col min="12" max="12" width="11.140625" style="55" customWidth="1"/>
    <col min="13" max="16384" width="9.140625" style="55"/>
  </cols>
  <sheetData>
    <row r="1" spans="1:9" x14ac:dyDescent="0.2">
      <c r="A1" s="306" t="s">
        <v>257</v>
      </c>
      <c r="B1" s="306"/>
      <c r="C1" s="306"/>
      <c r="D1" s="306"/>
      <c r="E1" s="306"/>
      <c r="F1" s="306"/>
      <c r="G1" s="306"/>
      <c r="H1" s="127"/>
    </row>
    <row r="2" spans="1:9" x14ac:dyDescent="0.2">
      <c r="A2" s="307" t="s">
        <v>0</v>
      </c>
      <c r="B2" s="307"/>
      <c r="C2" s="307"/>
      <c r="D2" s="307"/>
      <c r="E2" s="307"/>
      <c r="F2" s="307"/>
      <c r="G2" s="307"/>
      <c r="H2" s="1"/>
    </row>
    <row r="3" spans="1:9" x14ac:dyDescent="0.2">
      <c r="A3" s="2"/>
      <c r="B3" s="2"/>
      <c r="C3" s="2"/>
      <c r="D3" s="2"/>
      <c r="E3" s="2"/>
      <c r="F3" s="2"/>
      <c r="G3" s="2"/>
      <c r="H3" s="2"/>
    </row>
    <row r="4" spans="1:9" x14ac:dyDescent="0.2">
      <c r="A4" s="22" t="s">
        <v>1</v>
      </c>
      <c r="B4" s="322" t="s">
        <v>264</v>
      </c>
      <c r="C4" s="323"/>
      <c r="D4" s="19"/>
      <c r="E4" s="19"/>
      <c r="F4" s="19"/>
      <c r="G4" s="19"/>
      <c r="H4" s="19"/>
      <c r="I4" s="4"/>
    </row>
    <row r="5" spans="1:9" x14ac:dyDescent="0.2">
      <c r="A5" s="22" t="s">
        <v>2</v>
      </c>
      <c r="B5" s="324" t="s">
        <v>127</v>
      </c>
      <c r="C5" s="325"/>
      <c r="D5" s="19"/>
      <c r="E5" s="19"/>
      <c r="F5" s="19"/>
      <c r="G5" s="19"/>
      <c r="H5" s="19"/>
      <c r="I5" s="4"/>
    </row>
    <row r="7" spans="1:9" x14ac:dyDescent="0.2">
      <c r="A7" s="22" t="s">
        <v>155</v>
      </c>
      <c r="B7" s="326"/>
      <c r="C7" s="327"/>
      <c r="D7" s="22" t="s">
        <v>26</v>
      </c>
      <c r="E7" s="329" t="s">
        <v>127</v>
      </c>
      <c r="F7" s="330"/>
      <c r="G7" s="19"/>
      <c r="H7" s="19"/>
    </row>
    <row r="8" spans="1:9" x14ac:dyDescent="0.2">
      <c r="D8" s="19"/>
      <c r="E8" s="19"/>
      <c r="F8" s="19"/>
      <c r="G8" s="19"/>
      <c r="H8" s="19"/>
    </row>
    <row r="9" spans="1:9" x14ac:dyDescent="0.2">
      <c r="A9" s="2"/>
      <c r="B9" s="2"/>
      <c r="C9" s="2"/>
      <c r="D9" s="2"/>
      <c r="E9" s="2"/>
      <c r="F9" s="2"/>
      <c r="G9" s="2"/>
      <c r="H9" s="2"/>
    </row>
    <row r="10" spans="1:9" x14ac:dyDescent="0.2">
      <c r="A10" s="5" t="s">
        <v>3</v>
      </c>
      <c r="B10" s="5"/>
      <c r="C10" s="5"/>
      <c r="D10" s="5"/>
      <c r="E10" s="5"/>
      <c r="F10" s="5"/>
      <c r="G10" s="5"/>
      <c r="H10" s="5"/>
      <c r="I10" s="133"/>
    </row>
    <row r="11" spans="1:9" x14ac:dyDescent="0.2">
      <c r="A11" s="125" t="s">
        <v>4</v>
      </c>
      <c r="B11" s="295" t="s">
        <v>5</v>
      </c>
      <c r="C11" s="295"/>
      <c r="D11" s="295"/>
      <c r="E11" s="333" t="s">
        <v>127</v>
      </c>
      <c r="F11" s="333"/>
      <c r="G11" s="14"/>
    </row>
    <row r="12" spans="1:9" x14ac:dyDescent="0.2">
      <c r="A12" s="125" t="s">
        <v>6</v>
      </c>
      <c r="B12" s="295" t="s">
        <v>7</v>
      </c>
      <c r="C12" s="295"/>
      <c r="D12" s="295"/>
      <c r="E12" s="281"/>
      <c r="F12" s="281"/>
      <c r="G12" s="14"/>
    </row>
    <row r="13" spans="1:9" x14ac:dyDescent="0.2">
      <c r="A13" s="125" t="s">
        <v>8</v>
      </c>
      <c r="B13" s="295" t="s">
        <v>9</v>
      </c>
      <c r="C13" s="295"/>
      <c r="D13" s="295"/>
      <c r="E13" s="281"/>
      <c r="F13" s="281"/>
      <c r="G13" s="14"/>
    </row>
    <row r="14" spans="1:9" x14ac:dyDescent="0.2">
      <c r="A14" s="125" t="s">
        <v>10</v>
      </c>
      <c r="B14" s="295" t="s">
        <v>11</v>
      </c>
      <c r="C14" s="295"/>
      <c r="D14" s="295"/>
      <c r="E14" s="281"/>
      <c r="F14" s="281"/>
      <c r="G14" s="14"/>
    </row>
    <row r="15" spans="1:9" x14ac:dyDescent="0.2">
      <c r="A15" s="2"/>
      <c r="B15" s="2"/>
      <c r="C15" s="2"/>
      <c r="D15" s="2"/>
      <c r="E15" s="2"/>
      <c r="F15" s="2"/>
      <c r="G15" s="2"/>
      <c r="H15" s="2"/>
    </row>
    <row r="16" spans="1:9" x14ac:dyDescent="0.2">
      <c r="A16" s="5" t="s">
        <v>12</v>
      </c>
      <c r="B16" s="5"/>
      <c r="C16" s="5"/>
      <c r="D16" s="5"/>
      <c r="E16" s="5"/>
      <c r="F16" s="5"/>
      <c r="G16" s="5"/>
      <c r="H16" s="5"/>
      <c r="I16" s="133"/>
    </row>
    <row r="17" spans="1:9" s="134" customFormat="1" ht="36" customHeight="1" x14ac:dyDescent="0.2">
      <c r="A17" s="299" t="s">
        <v>13</v>
      </c>
      <c r="B17" s="299"/>
      <c r="C17" s="124" t="s">
        <v>14</v>
      </c>
      <c r="D17" s="331" t="s">
        <v>25</v>
      </c>
      <c r="E17" s="331"/>
      <c r="F17" s="16"/>
      <c r="G17" s="16"/>
    </row>
    <row r="18" spans="1:9" ht="14.25" x14ac:dyDescent="0.2">
      <c r="A18" s="281" t="s">
        <v>15</v>
      </c>
      <c r="B18" s="281"/>
      <c r="C18" s="125" t="s">
        <v>16</v>
      </c>
      <c r="D18" s="332">
        <v>8855.48</v>
      </c>
      <c r="E18" s="332"/>
      <c r="F18" s="14"/>
      <c r="G18" s="14"/>
    </row>
    <row r="19" spans="1:9" x14ac:dyDescent="0.2">
      <c r="A19" s="2"/>
      <c r="B19" s="2"/>
      <c r="C19" s="2"/>
      <c r="D19" s="2"/>
      <c r="E19" s="2"/>
      <c r="F19" s="2"/>
      <c r="G19" s="2"/>
      <c r="H19" s="2"/>
    </row>
    <row r="20" spans="1:9" x14ac:dyDescent="0.2">
      <c r="A20" s="5" t="s">
        <v>17</v>
      </c>
      <c r="B20" s="5"/>
      <c r="C20" s="5"/>
      <c r="D20" s="5"/>
      <c r="E20" s="5"/>
      <c r="F20" s="5"/>
      <c r="G20" s="5"/>
      <c r="H20" s="5"/>
      <c r="I20" s="133"/>
    </row>
    <row r="21" spans="1:9" x14ac:dyDescent="0.2">
      <c r="A21" s="5" t="s">
        <v>18</v>
      </c>
      <c r="B21" s="5"/>
      <c r="C21" s="5"/>
      <c r="D21" s="5"/>
      <c r="E21" s="5"/>
      <c r="F21" s="5"/>
      <c r="G21" s="5"/>
      <c r="H21" s="5"/>
      <c r="I21" s="133"/>
    </row>
    <row r="22" spans="1:9" ht="15.75" customHeight="1" x14ac:dyDescent="0.2">
      <c r="A22" s="331" t="s">
        <v>19</v>
      </c>
      <c r="B22" s="331"/>
      <c r="C22" s="331"/>
      <c r="D22" s="331"/>
      <c r="E22" s="331"/>
      <c r="F22" s="15"/>
      <c r="G22" s="15"/>
    </row>
    <row r="23" spans="1:9" ht="25.5" x14ac:dyDescent="0.2">
      <c r="A23" s="125">
        <v>1</v>
      </c>
      <c r="B23" s="308" t="s">
        <v>20</v>
      </c>
      <c r="C23" s="311"/>
      <c r="D23" s="309"/>
      <c r="E23" s="125" t="s">
        <v>15</v>
      </c>
      <c r="G23" s="14"/>
    </row>
    <row r="24" spans="1:9" ht="15" customHeight="1" x14ac:dyDescent="0.2">
      <c r="A24" s="125">
        <v>2</v>
      </c>
      <c r="B24" s="308" t="s">
        <v>21</v>
      </c>
      <c r="C24" s="311"/>
      <c r="D24" s="309"/>
      <c r="E24" s="125"/>
      <c r="G24" s="14"/>
    </row>
    <row r="25" spans="1:9" ht="15" customHeight="1" x14ac:dyDescent="0.2">
      <c r="A25" s="125">
        <v>3</v>
      </c>
      <c r="B25" s="308" t="s">
        <v>22</v>
      </c>
      <c r="C25" s="311"/>
      <c r="D25" s="309"/>
      <c r="E25" s="33"/>
      <c r="F25" s="169"/>
      <c r="G25" s="14"/>
    </row>
    <row r="26" spans="1:9" ht="27.75" customHeight="1" x14ac:dyDescent="0.2">
      <c r="A26" s="125">
        <v>4</v>
      </c>
      <c r="B26" s="308" t="s">
        <v>23</v>
      </c>
      <c r="C26" s="311"/>
      <c r="D26" s="309"/>
      <c r="E26" s="135"/>
      <c r="G26" s="14"/>
    </row>
    <row r="27" spans="1:9" ht="15" customHeight="1" x14ac:dyDescent="0.2">
      <c r="A27" s="125">
        <v>5</v>
      </c>
      <c r="B27" s="308" t="s">
        <v>24</v>
      </c>
      <c r="C27" s="311"/>
      <c r="D27" s="309"/>
      <c r="E27" s="136"/>
      <c r="G27" s="14"/>
    </row>
    <row r="28" spans="1:9" x14ac:dyDescent="0.2">
      <c r="A28" s="23" t="s">
        <v>204</v>
      </c>
      <c r="B28" s="3"/>
      <c r="C28" s="3"/>
      <c r="D28" s="3"/>
      <c r="E28" s="3"/>
      <c r="G28" s="3"/>
      <c r="H28" s="3"/>
    </row>
    <row r="29" spans="1:9" x14ac:dyDescent="0.2">
      <c r="B29" s="5"/>
      <c r="C29" s="5"/>
      <c r="D29" s="5"/>
      <c r="E29" s="5"/>
      <c r="F29" s="5"/>
      <c r="G29" s="5"/>
      <c r="H29" s="5"/>
      <c r="I29" s="133"/>
    </row>
    <row r="30" spans="1:9" x14ac:dyDescent="0.2">
      <c r="A30" s="5" t="s">
        <v>27</v>
      </c>
      <c r="B30" s="5"/>
      <c r="C30" s="5"/>
      <c r="D30" s="5"/>
      <c r="E30" s="5"/>
      <c r="F30" s="5"/>
      <c r="G30" s="5"/>
      <c r="H30" s="5"/>
      <c r="I30" s="133"/>
    </row>
    <row r="31" spans="1:9" ht="26.25" customHeight="1" x14ac:dyDescent="0.2">
      <c r="A31" s="124">
        <v>1</v>
      </c>
      <c r="B31" s="312" t="s">
        <v>28</v>
      </c>
      <c r="C31" s="313"/>
      <c r="D31" s="124" t="s">
        <v>156</v>
      </c>
      <c r="E31" s="124" t="s">
        <v>29</v>
      </c>
      <c r="F31" s="16"/>
      <c r="G31" s="16"/>
      <c r="H31" s="137"/>
    </row>
    <row r="32" spans="1:9" x14ac:dyDescent="0.2">
      <c r="A32" s="125" t="s">
        <v>4</v>
      </c>
      <c r="B32" s="308" t="s">
        <v>30</v>
      </c>
      <c r="C32" s="311"/>
      <c r="D32" s="10" t="s">
        <v>127</v>
      </c>
      <c r="E32" s="34">
        <f>E25</f>
        <v>0</v>
      </c>
      <c r="F32" s="14"/>
      <c r="G32" s="14"/>
      <c r="H32" s="137"/>
    </row>
    <row r="33" spans="1:9" ht="15" customHeight="1" x14ac:dyDescent="0.2">
      <c r="A33" s="125" t="s">
        <v>6</v>
      </c>
      <c r="B33" s="308" t="s">
        <v>31</v>
      </c>
      <c r="C33" s="311"/>
      <c r="D33" s="36">
        <v>0</v>
      </c>
      <c r="E33" s="34">
        <f t="shared" ref="E33:E38" si="0">$E$32*D33</f>
        <v>0</v>
      </c>
      <c r="F33" s="14"/>
      <c r="G33" s="14"/>
      <c r="H33" s="137"/>
    </row>
    <row r="34" spans="1:9" ht="15" customHeight="1" x14ac:dyDescent="0.2">
      <c r="A34" s="125" t="s">
        <v>8</v>
      </c>
      <c r="B34" s="308" t="s">
        <v>32</v>
      </c>
      <c r="C34" s="311"/>
      <c r="D34" s="36">
        <v>0</v>
      </c>
      <c r="E34" s="34">
        <f t="shared" si="0"/>
        <v>0</v>
      </c>
      <c r="F34" s="14"/>
      <c r="G34" s="14"/>
      <c r="H34" s="137"/>
    </row>
    <row r="35" spans="1:9" x14ac:dyDescent="0.2">
      <c r="A35" s="125" t="s">
        <v>10</v>
      </c>
      <c r="B35" s="308" t="s">
        <v>33</v>
      </c>
      <c r="C35" s="311"/>
      <c r="D35" s="36">
        <v>0</v>
      </c>
      <c r="E35" s="34">
        <f t="shared" si="0"/>
        <v>0</v>
      </c>
      <c r="F35" s="14"/>
      <c r="G35" s="14"/>
      <c r="H35" s="137"/>
    </row>
    <row r="36" spans="1:9" ht="15" customHeight="1" x14ac:dyDescent="0.2">
      <c r="A36" s="125" t="s">
        <v>34</v>
      </c>
      <c r="B36" s="308" t="s">
        <v>35</v>
      </c>
      <c r="C36" s="311"/>
      <c r="D36" s="36">
        <v>0</v>
      </c>
      <c r="E36" s="34">
        <f t="shared" si="0"/>
        <v>0</v>
      </c>
      <c r="F36" s="14"/>
      <c r="G36" s="14"/>
      <c r="H36" s="137"/>
    </row>
    <row r="37" spans="1:9" ht="23.25" customHeight="1" x14ac:dyDescent="0.2">
      <c r="A37" s="125" t="s">
        <v>36</v>
      </c>
      <c r="B37" s="308" t="s">
        <v>37</v>
      </c>
      <c r="C37" s="311"/>
      <c r="D37" s="36">
        <v>0</v>
      </c>
      <c r="E37" s="34">
        <f t="shared" si="0"/>
        <v>0</v>
      </c>
      <c r="F37" s="14"/>
      <c r="G37" s="14"/>
      <c r="H37" s="137"/>
    </row>
    <row r="38" spans="1:9" x14ac:dyDescent="0.2">
      <c r="A38" s="125" t="s">
        <v>38</v>
      </c>
      <c r="B38" s="308" t="s">
        <v>39</v>
      </c>
      <c r="C38" s="311"/>
      <c r="D38" s="36">
        <v>0</v>
      </c>
      <c r="E38" s="34">
        <f t="shared" si="0"/>
        <v>0</v>
      </c>
      <c r="F38" s="14"/>
      <c r="G38" s="14"/>
      <c r="H38" s="137"/>
    </row>
    <row r="39" spans="1:9" x14ac:dyDescent="0.2">
      <c r="A39" s="312" t="s">
        <v>40</v>
      </c>
      <c r="B39" s="313"/>
      <c r="C39" s="313"/>
      <c r="D39" s="27" t="s">
        <v>127</v>
      </c>
      <c r="E39" s="35">
        <f>SUM(E32:E38)</f>
        <v>0</v>
      </c>
      <c r="F39" s="15"/>
      <c r="G39" s="15"/>
      <c r="H39" s="15"/>
    </row>
    <row r="40" spans="1:9" ht="27" customHeight="1" x14ac:dyDescent="0.2">
      <c r="A40" s="328" t="str">
        <f>CONCATENATE("Nota: O Módulo 1 refere-se ao valor mensal devido ao empregado pela prestação do serviço no período de ",E14," meses.")</f>
        <v>Nota: O Módulo 1 refere-se ao valor mensal devido ao empregado pela prestação do serviço no período de  meses.</v>
      </c>
      <c r="B40" s="328"/>
      <c r="C40" s="328"/>
      <c r="D40" s="328"/>
      <c r="E40" s="328"/>
      <c r="F40" s="30"/>
      <c r="G40" s="30"/>
    </row>
    <row r="41" spans="1:9" x14ac:dyDescent="0.2">
      <c r="B41" s="5"/>
      <c r="C41" s="5"/>
      <c r="D41" s="5"/>
      <c r="E41" s="5"/>
      <c r="F41" s="5"/>
      <c r="G41" s="5"/>
      <c r="H41" s="5"/>
      <c r="I41" s="133"/>
    </row>
    <row r="42" spans="1:9" x14ac:dyDescent="0.2">
      <c r="A42" s="5" t="s">
        <v>41</v>
      </c>
      <c r="B42" s="5"/>
      <c r="C42" s="5"/>
      <c r="D42" s="5"/>
      <c r="E42" s="5"/>
      <c r="F42" s="5"/>
      <c r="G42" s="5"/>
      <c r="H42" s="5"/>
      <c r="I42" s="133"/>
    </row>
    <row r="43" spans="1:9" x14ac:dyDescent="0.2">
      <c r="A43" s="5" t="s">
        <v>42</v>
      </c>
      <c r="B43" s="5"/>
      <c r="C43" s="5"/>
      <c r="D43" s="5"/>
      <c r="E43" s="5"/>
      <c r="F43" s="5"/>
      <c r="G43" s="5"/>
      <c r="H43" s="5"/>
      <c r="I43" s="133"/>
    </row>
    <row r="44" spans="1:9" ht="51" x14ac:dyDescent="0.2">
      <c r="A44" s="119" t="s">
        <v>43</v>
      </c>
      <c r="B44" s="296" t="s">
        <v>44</v>
      </c>
      <c r="C44" s="296"/>
      <c r="D44" s="296"/>
      <c r="E44" s="119" t="s">
        <v>159</v>
      </c>
      <c r="F44" s="74"/>
      <c r="G44" s="16"/>
    </row>
    <row r="45" spans="1:9" ht="15" customHeight="1" x14ac:dyDescent="0.2">
      <c r="A45" s="125" t="s">
        <v>4</v>
      </c>
      <c r="B45" s="295" t="s">
        <v>45</v>
      </c>
      <c r="C45" s="295"/>
      <c r="D45" s="295"/>
      <c r="E45" s="34">
        <f>E39/12</f>
        <v>0</v>
      </c>
      <c r="F45" s="87" t="s">
        <v>239</v>
      </c>
      <c r="G45" s="14"/>
    </row>
    <row r="46" spans="1:9" ht="15" customHeight="1" x14ac:dyDescent="0.2">
      <c r="A46" s="125" t="s">
        <v>6</v>
      </c>
      <c r="B46" s="295" t="s">
        <v>46</v>
      </c>
      <c r="C46" s="295"/>
      <c r="D46" s="295"/>
      <c r="E46" s="34">
        <f>(E39/12)+((E39*1/3)/12)</f>
        <v>0</v>
      </c>
      <c r="F46" s="87" t="s">
        <v>240</v>
      </c>
      <c r="G46" s="14"/>
    </row>
    <row r="47" spans="1:9" x14ac:dyDescent="0.2">
      <c r="A47" s="299" t="s">
        <v>40</v>
      </c>
      <c r="B47" s="299"/>
      <c r="C47" s="299"/>
      <c r="D47" s="299"/>
      <c r="E47" s="35">
        <f>SUM(E45:E46)</f>
        <v>0</v>
      </c>
      <c r="F47" s="75"/>
      <c r="G47" s="15"/>
    </row>
    <row r="48" spans="1:9" s="139" customFormat="1" ht="31.5" customHeight="1" x14ac:dyDescent="0.2">
      <c r="A48" s="334" t="s">
        <v>205</v>
      </c>
      <c r="B48" s="334"/>
      <c r="C48" s="334"/>
      <c r="D48" s="334"/>
      <c r="E48" s="334"/>
      <c r="F48" s="334"/>
      <c r="G48" s="30"/>
      <c r="H48" s="115"/>
      <c r="I48" s="138"/>
    </row>
    <row r="49" spans="1:12" s="139" customFormat="1" ht="31.5" customHeight="1" x14ac:dyDescent="0.2">
      <c r="A49" s="315" t="s">
        <v>206</v>
      </c>
      <c r="B49" s="315"/>
      <c r="C49" s="315"/>
      <c r="D49" s="315"/>
      <c r="E49" s="315"/>
      <c r="F49" s="315"/>
      <c r="G49" s="30"/>
      <c r="H49" s="31"/>
      <c r="I49" s="138"/>
    </row>
    <row r="50" spans="1:12" x14ac:dyDescent="0.2">
      <c r="A50" s="2"/>
      <c r="B50" s="2"/>
      <c r="C50" s="2"/>
      <c r="D50" s="2"/>
      <c r="E50" s="2"/>
      <c r="F50" s="2"/>
      <c r="G50" s="2"/>
    </row>
    <row r="51" spans="1:12" x14ac:dyDescent="0.2">
      <c r="A51" s="5" t="s">
        <v>47</v>
      </c>
      <c r="B51" s="5"/>
      <c r="C51" s="5"/>
      <c r="D51" s="5"/>
      <c r="E51" s="5"/>
      <c r="F51" s="5"/>
      <c r="G51" s="5"/>
      <c r="H51" s="5"/>
      <c r="I51" s="133"/>
    </row>
    <row r="52" spans="1:12" ht="38.25" x14ac:dyDescent="0.2">
      <c r="A52" s="119" t="s">
        <v>48</v>
      </c>
      <c r="B52" s="296" t="s">
        <v>49</v>
      </c>
      <c r="C52" s="296"/>
      <c r="D52" s="119" t="s">
        <v>50</v>
      </c>
      <c r="E52" s="119" t="s">
        <v>157</v>
      </c>
      <c r="F52" s="119" t="s">
        <v>158</v>
      </c>
      <c r="G52" s="120"/>
    </row>
    <row r="53" spans="1:12" x14ac:dyDescent="0.2">
      <c r="A53" s="125" t="s">
        <v>4</v>
      </c>
      <c r="B53" s="295" t="s">
        <v>51</v>
      </c>
      <c r="C53" s="295"/>
      <c r="D53" s="29">
        <v>0.2</v>
      </c>
      <c r="E53" s="34">
        <f>(E39*D53)+(E47*D53)</f>
        <v>0</v>
      </c>
      <c r="F53" s="34">
        <f>(E39*D53)+(E47*D53)</f>
        <v>0</v>
      </c>
      <c r="G53" s="87" t="s">
        <v>231</v>
      </c>
    </row>
    <row r="54" spans="1:12" x14ac:dyDescent="0.2">
      <c r="A54" s="125" t="s">
        <v>6</v>
      </c>
      <c r="B54" s="295" t="s">
        <v>52</v>
      </c>
      <c r="C54" s="295"/>
      <c r="D54" s="29">
        <v>2.5000000000000001E-2</v>
      </c>
      <c r="E54" s="34">
        <f>(E39+E47)*D54</f>
        <v>0</v>
      </c>
      <c r="F54" s="34" t="s">
        <v>127</v>
      </c>
      <c r="G54" s="87" t="s">
        <v>232</v>
      </c>
    </row>
    <row r="55" spans="1:12" x14ac:dyDescent="0.2">
      <c r="A55" s="125" t="s">
        <v>8</v>
      </c>
      <c r="B55" s="295" t="s">
        <v>53</v>
      </c>
      <c r="C55" s="295"/>
      <c r="D55" s="92">
        <v>0.02</v>
      </c>
      <c r="E55" s="34">
        <f>(E47+E39)*D55</f>
        <v>0</v>
      </c>
      <c r="F55" s="34">
        <f>(E47+E39)*D55</f>
        <v>0</v>
      </c>
      <c r="G55" s="87" t="s">
        <v>233</v>
      </c>
      <c r="H55" s="140"/>
      <c r="I55" s="108"/>
      <c r="J55" s="108"/>
    </row>
    <row r="56" spans="1:12" x14ac:dyDescent="0.2">
      <c r="A56" s="125" t="s">
        <v>10</v>
      </c>
      <c r="B56" s="295" t="s">
        <v>54</v>
      </c>
      <c r="C56" s="295"/>
      <c r="D56" s="105">
        <v>1.4999999999999999E-2</v>
      </c>
      <c r="E56" s="34">
        <f>(E47+E39)*D56</f>
        <v>0</v>
      </c>
      <c r="F56" s="34" t="s">
        <v>127</v>
      </c>
      <c r="G56" s="87" t="s">
        <v>234</v>
      </c>
      <c r="H56" s="56"/>
    </row>
    <row r="57" spans="1:12" x14ac:dyDescent="0.2">
      <c r="A57" s="125" t="s">
        <v>34</v>
      </c>
      <c r="B57" s="295" t="s">
        <v>55</v>
      </c>
      <c r="C57" s="295"/>
      <c r="D57" s="29">
        <v>0.01</v>
      </c>
      <c r="E57" s="34">
        <f>(E39+E47)*D57</f>
        <v>0</v>
      </c>
      <c r="F57" s="34" t="s">
        <v>127</v>
      </c>
      <c r="G57" s="87" t="s">
        <v>235</v>
      </c>
      <c r="H57" s="56"/>
    </row>
    <row r="58" spans="1:12" x14ac:dyDescent="0.2">
      <c r="A58" s="125" t="s">
        <v>36</v>
      </c>
      <c r="B58" s="295" t="s">
        <v>56</v>
      </c>
      <c r="C58" s="295"/>
      <c r="D58" s="29">
        <v>6.0000000000000001E-3</v>
      </c>
      <c r="E58" s="34">
        <f>(E39+E47)*D58</f>
        <v>0</v>
      </c>
      <c r="F58" s="34" t="s">
        <v>127</v>
      </c>
      <c r="G58" s="87" t="s">
        <v>236</v>
      </c>
      <c r="H58" s="56"/>
    </row>
    <row r="59" spans="1:12" x14ac:dyDescent="0.2">
      <c r="A59" s="125" t="s">
        <v>38</v>
      </c>
      <c r="B59" s="295" t="s">
        <v>57</v>
      </c>
      <c r="C59" s="295"/>
      <c r="D59" s="29">
        <v>2E-3</v>
      </c>
      <c r="E59" s="34">
        <f>(E39+E47)*D59</f>
        <v>0</v>
      </c>
      <c r="F59" s="34" t="s">
        <v>127</v>
      </c>
      <c r="G59" s="87" t="s">
        <v>237</v>
      </c>
      <c r="H59" s="56"/>
    </row>
    <row r="60" spans="1:12" x14ac:dyDescent="0.2">
      <c r="A60" s="125" t="s">
        <v>58</v>
      </c>
      <c r="B60" s="295" t="s">
        <v>59</v>
      </c>
      <c r="C60" s="295"/>
      <c r="D60" s="29">
        <v>0.08</v>
      </c>
      <c r="E60" s="34">
        <f>(E39+E47)*D60</f>
        <v>0</v>
      </c>
      <c r="F60" s="34">
        <f>(E39+E47)*D60</f>
        <v>0</v>
      </c>
      <c r="G60" s="87" t="s">
        <v>238</v>
      </c>
      <c r="H60" s="56"/>
    </row>
    <row r="61" spans="1:12" x14ac:dyDescent="0.2">
      <c r="A61" s="299" t="s">
        <v>60</v>
      </c>
      <c r="B61" s="299"/>
      <c r="C61" s="299"/>
      <c r="D61" s="299"/>
      <c r="E61" s="38">
        <f>SUM(E53:E60)</f>
        <v>0</v>
      </c>
      <c r="F61" s="38">
        <f>SUM(F53:F60)</f>
        <v>0</v>
      </c>
      <c r="G61" s="76"/>
      <c r="H61" s="141"/>
      <c r="I61" s="142"/>
      <c r="J61" s="108"/>
      <c r="K61" s="143"/>
      <c r="L61" s="108"/>
    </row>
    <row r="62" spans="1:12" x14ac:dyDescent="0.2">
      <c r="A62" s="299" t="s">
        <v>161</v>
      </c>
      <c r="B62" s="299"/>
      <c r="C62" s="299"/>
      <c r="D62" s="299"/>
      <c r="E62" s="44" t="e">
        <f>E61/(E39+E47)</f>
        <v>#DIV/0!</v>
      </c>
      <c r="F62" s="44" t="e">
        <f>F61/(E39+E47)</f>
        <v>#DIV/0!</v>
      </c>
      <c r="G62" s="77"/>
      <c r="H62" s="108"/>
      <c r="I62" s="108"/>
      <c r="J62" s="108"/>
      <c r="K62" s="108"/>
      <c r="L62" s="108"/>
    </row>
    <row r="63" spans="1:12" x14ac:dyDescent="0.2">
      <c r="A63" s="23" t="s">
        <v>207</v>
      </c>
      <c r="B63" s="5"/>
      <c r="C63" s="5"/>
      <c r="D63" s="5"/>
      <c r="E63" s="5"/>
      <c r="F63" s="5"/>
      <c r="G63" s="5"/>
      <c r="H63" s="54"/>
      <c r="I63" s="144"/>
      <c r="J63" s="108"/>
      <c r="K63" s="108"/>
      <c r="L63" s="108"/>
    </row>
    <row r="64" spans="1:12" x14ac:dyDescent="0.2">
      <c r="A64" s="23" t="s">
        <v>208</v>
      </c>
      <c r="B64" s="5"/>
      <c r="C64" s="5"/>
      <c r="D64" s="5"/>
      <c r="E64" s="5"/>
      <c r="F64" s="5"/>
      <c r="G64" s="5"/>
      <c r="H64" s="5"/>
      <c r="I64" s="133"/>
    </row>
    <row r="65" spans="1:9" x14ac:dyDescent="0.2">
      <c r="A65" s="23" t="s">
        <v>209</v>
      </c>
      <c r="B65" s="5"/>
      <c r="C65" s="5"/>
      <c r="D65" s="5"/>
      <c r="E65" s="5"/>
      <c r="F65" s="5"/>
      <c r="G65" s="5"/>
      <c r="H65" s="5"/>
      <c r="I65" s="133"/>
    </row>
    <row r="66" spans="1:9" x14ac:dyDescent="0.2">
      <c r="A66" s="5"/>
      <c r="B66" s="5"/>
      <c r="C66" s="5"/>
      <c r="D66" s="5"/>
      <c r="E66" s="5"/>
      <c r="F66" s="5"/>
      <c r="G66" s="5"/>
      <c r="H66" s="5"/>
      <c r="I66" s="133"/>
    </row>
    <row r="67" spans="1:9" x14ac:dyDescent="0.2">
      <c r="A67" s="5" t="s">
        <v>61</v>
      </c>
      <c r="B67" s="5"/>
      <c r="C67" s="5"/>
      <c r="D67" s="5"/>
      <c r="E67" s="5"/>
      <c r="F67" s="5"/>
      <c r="G67" s="5"/>
      <c r="H67" s="5"/>
      <c r="I67" s="133"/>
    </row>
    <row r="68" spans="1:9" x14ac:dyDescent="0.2">
      <c r="A68" s="119" t="s">
        <v>62</v>
      </c>
      <c r="B68" s="296" t="s">
        <v>63</v>
      </c>
      <c r="C68" s="296"/>
      <c r="D68" s="296"/>
      <c r="E68" s="119" t="s">
        <v>29</v>
      </c>
      <c r="F68" s="39"/>
      <c r="G68" s="16"/>
    </row>
    <row r="69" spans="1:9" x14ac:dyDescent="0.2">
      <c r="A69" s="125" t="s">
        <v>4</v>
      </c>
      <c r="B69" s="308" t="s">
        <v>64</v>
      </c>
      <c r="C69" s="311"/>
      <c r="D69" s="309"/>
      <c r="E69" s="91">
        <f>'2.3-Transporte'!B9</f>
        <v>0</v>
      </c>
      <c r="F69" s="87" t="s">
        <v>220</v>
      </c>
      <c r="G69" s="14"/>
    </row>
    <row r="70" spans="1:9" ht="15.75" customHeight="1" x14ac:dyDescent="0.2">
      <c r="A70" s="125" t="s">
        <v>6</v>
      </c>
      <c r="B70" s="308" t="s">
        <v>65</v>
      </c>
      <c r="C70" s="311"/>
      <c r="D70" s="309"/>
      <c r="E70" s="91">
        <f>'2.3-Aux. Refeição-Alimentação'!B6</f>
        <v>0</v>
      </c>
      <c r="F70" s="87" t="s">
        <v>250</v>
      </c>
      <c r="G70" s="14"/>
    </row>
    <row r="71" spans="1:9" ht="15.75" customHeight="1" x14ac:dyDescent="0.2">
      <c r="A71" s="125" t="s">
        <v>8</v>
      </c>
      <c r="B71" s="308" t="s">
        <v>66</v>
      </c>
      <c r="C71" s="311"/>
      <c r="D71" s="309"/>
      <c r="E71" s="91">
        <v>0</v>
      </c>
      <c r="F71" s="87" t="s">
        <v>226</v>
      </c>
      <c r="G71" s="14"/>
    </row>
    <row r="72" spans="1:9" ht="29.25" customHeight="1" x14ac:dyDescent="0.2">
      <c r="A72" s="125" t="s">
        <v>10</v>
      </c>
      <c r="B72" s="308" t="s">
        <v>246</v>
      </c>
      <c r="C72" s="311"/>
      <c r="D72" s="309"/>
      <c r="E72" s="91"/>
      <c r="F72" s="87"/>
      <c r="G72" s="14"/>
    </row>
    <row r="73" spans="1:9" x14ac:dyDescent="0.2">
      <c r="A73" s="125" t="s">
        <v>34</v>
      </c>
      <c r="B73" s="308" t="s">
        <v>247</v>
      </c>
      <c r="C73" s="311"/>
      <c r="D73" s="309"/>
      <c r="E73" s="91">
        <v>0</v>
      </c>
      <c r="F73" s="104" t="s">
        <v>230</v>
      </c>
      <c r="G73" s="14"/>
    </row>
    <row r="74" spans="1:9" ht="27" customHeight="1" x14ac:dyDescent="0.2">
      <c r="A74" s="125" t="s">
        <v>36</v>
      </c>
      <c r="B74" s="308" t="s">
        <v>263</v>
      </c>
      <c r="C74" s="311"/>
      <c r="D74" s="309"/>
      <c r="E74" s="91" t="e">
        <f>'2.3-Transporte'!B16</f>
        <v>#DIV/0!</v>
      </c>
      <c r="F74" s="87"/>
      <c r="G74" s="14"/>
    </row>
    <row r="75" spans="1:9" ht="17.25" customHeight="1" x14ac:dyDescent="0.2">
      <c r="A75" s="299" t="s">
        <v>40</v>
      </c>
      <c r="B75" s="299"/>
      <c r="C75" s="299"/>
      <c r="D75" s="299"/>
      <c r="E75" s="35" t="e">
        <f>SUM(E69:E74)</f>
        <v>#DIV/0!</v>
      </c>
      <c r="F75" s="15"/>
      <c r="G75" s="15"/>
    </row>
    <row r="76" spans="1:9" x14ac:dyDescent="0.2">
      <c r="A76" s="23" t="s">
        <v>210</v>
      </c>
      <c r="B76" s="23"/>
      <c r="C76" s="23"/>
      <c r="D76" s="23"/>
      <c r="E76" s="23"/>
      <c r="F76" s="23"/>
      <c r="G76" s="23"/>
      <c r="H76" s="5"/>
      <c r="I76" s="133"/>
    </row>
    <row r="77" spans="1:9" ht="26.25" customHeight="1" x14ac:dyDescent="0.2">
      <c r="A77" s="315" t="s">
        <v>211</v>
      </c>
      <c r="B77" s="315"/>
      <c r="C77" s="315"/>
      <c r="D77" s="315"/>
      <c r="E77" s="315"/>
      <c r="F77" s="315"/>
      <c r="G77" s="315"/>
      <c r="H77" s="5"/>
      <c r="I77" s="133"/>
    </row>
    <row r="78" spans="1:9" x14ac:dyDescent="0.2">
      <c r="A78" s="5"/>
      <c r="B78" s="5"/>
      <c r="C78" s="5"/>
      <c r="D78" s="5"/>
      <c r="E78" s="5"/>
      <c r="F78" s="5"/>
      <c r="G78" s="5"/>
      <c r="H78" s="5"/>
      <c r="I78" s="133"/>
    </row>
    <row r="79" spans="1:9" x14ac:dyDescent="0.2">
      <c r="A79" s="5" t="s">
        <v>67</v>
      </c>
      <c r="B79" s="5"/>
      <c r="C79" s="5"/>
      <c r="D79" s="5"/>
      <c r="E79" s="5"/>
      <c r="F79" s="5"/>
      <c r="G79" s="78"/>
      <c r="H79" s="5"/>
      <c r="I79" s="133"/>
    </row>
    <row r="80" spans="1:9" ht="38.25" x14ac:dyDescent="0.2">
      <c r="A80" s="119">
        <v>2</v>
      </c>
      <c r="B80" s="296" t="s">
        <v>68</v>
      </c>
      <c r="C80" s="296"/>
      <c r="D80" s="296"/>
      <c r="E80" s="119" t="s">
        <v>157</v>
      </c>
      <c r="F80" s="119" t="s">
        <v>158</v>
      </c>
      <c r="G80" s="120"/>
    </row>
    <row r="81" spans="1:22" x14ac:dyDescent="0.2">
      <c r="A81" s="125" t="s">
        <v>43</v>
      </c>
      <c r="B81" s="295" t="s">
        <v>44</v>
      </c>
      <c r="C81" s="295"/>
      <c r="D81" s="295"/>
      <c r="E81" s="37">
        <f>E47</f>
        <v>0</v>
      </c>
      <c r="F81" s="37">
        <f>E47</f>
        <v>0</v>
      </c>
      <c r="G81" s="79"/>
    </row>
    <row r="82" spans="1:22" x14ac:dyDescent="0.2">
      <c r="A82" s="125" t="s">
        <v>48</v>
      </c>
      <c r="B82" s="295" t="s">
        <v>49</v>
      </c>
      <c r="C82" s="295"/>
      <c r="D82" s="295"/>
      <c r="E82" s="37">
        <f>E61</f>
        <v>0</v>
      </c>
      <c r="F82" s="37">
        <f>F61</f>
        <v>0</v>
      </c>
      <c r="G82" s="79"/>
    </row>
    <row r="83" spans="1:22" x14ac:dyDescent="0.2">
      <c r="A83" s="125" t="s">
        <v>62</v>
      </c>
      <c r="B83" s="295" t="s">
        <v>63</v>
      </c>
      <c r="C83" s="295"/>
      <c r="D83" s="295"/>
      <c r="E83" s="37" t="e">
        <f>E75</f>
        <v>#DIV/0!</v>
      </c>
      <c r="F83" s="37" t="e">
        <f>E75</f>
        <v>#DIV/0!</v>
      </c>
      <c r="G83" s="79"/>
    </row>
    <row r="84" spans="1:22" x14ac:dyDescent="0.2">
      <c r="A84" s="312" t="s">
        <v>40</v>
      </c>
      <c r="B84" s="313"/>
      <c r="C84" s="313"/>
      <c r="D84" s="314"/>
      <c r="E84" s="38" t="e">
        <f>SUM(E81:E83)</f>
        <v>#DIV/0!</v>
      </c>
      <c r="F84" s="38" t="e">
        <f>SUM(F81:F83)</f>
        <v>#DIV/0!</v>
      </c>
      <c r="G84" s="113"/>
    </row>
    <row r="85" spans="1:22" x14ac:dyDescent="0.2">
      <c r="A85" s="3"/>
      <c r="B85" s="3"/>
      <c r="C85" s="3"/>
      <c r="D85" s="3"/>
      <c r="E85" s="3"/>
      <c r="F85" s="3"/>
      <c r="G85" s="3"/>
    </row>
    <row r="86" spans="1:22" x14ac:dyDescent="0.2">
      <c r="A86" s="107" t="s">
        <v>69</v>
      </c>
      <c r="B86" s="106"/>
      <c r="C86" s="106"/>
      <c r="D86" s="106"/>
      <c r="E86" s="106"/>
      <c r="F86" s="106"/>
      <c r="G86" s="5"/>
      <c r="H86" s="5"/>
      <c r="I86" s="133"/>
    </row>
    <row r="87" spans="1:22" ht="38.25" x14ac:dyDescent="0.2">
      <c r="A87" s="119">
        <v>3</v>
      </c>
      <c r="B87" s="296" t="s">
        <v>70</v>
      </c>
      <c r="C87" s="296"/>
      <c r="D87" s="296"/>
      <c r="E87" s="119" t="s">
        <v>157</v>
      </c>
      <c r="F87" s="119" t="s">
        <v>158</v>
      </c>
      <c r="G87" s="120"/>
      <c r="H87" s="16"/>
    </row>
    <row r="88" spans="1:22" s="139" customFormat="1" x14ac:dyDescent="0.2">
      <c r="A88" s="48" t="s">
        <v>4</v>
      </c>
      <c r="B88" s="347" t="s">
        <v>71</v>
      </c>
      <c r="C88" s="347"/>
      <c r="D88" s="347"/>
      <c r="E88" s="91">
        <f>(E39/12)*5%</f>
        <v>0</v>
      </c>
      <c r="F88" s="91">
        <f>(E39/12)*5%</f>
        <v>0</v>
      </c>
      <c r="G88" s="45" t="s">
        <v>241</v>
      </c>
      <c r="H88" s="45"/>
      <c r="I88" s="145"/>
      <c r="J88" s="145"/>
      <c r="K88" s="145"/>
      <c r="L88" s="145"/>
      <c r="M88" s="145"/>
      <c r="N88" s="145"/>
    </row>
    <row r="89" spans="1:22" s="139" customFormat="1" x14ac:dyDescent="0.2">
      <c r="A89" s="48" t="s">
        <v>6</v>
      </c>
      <c r="B89" s="347" t="s">
        <v>72</v>
      </c>
      <c r="C89" s="347"/>
      <c r="D89" s="347"/>
      <c r="E89" s="91">
        <f>E88*8%</f>
        <v>0</v>
      </c>
      <c r="F89" s="91">
        <f>F88*8%</f>
        <v>0</v>
      </c>
      <c r="G89" s="45" t="s">
        <v>160</v>
      </c>
      <c r="H89" s="45"/>
    </row>
    <row r="90" spans="1:22" s="139" customFormat="1" ht="27" customHeight="1" x14ac:dyDescent="0.2">
      <c r="A90" s="269" t="s">
        <v>8</v>
      </c>
      <c r="B90" s="295" t="s">
        <v>73</v>
      </c>
      <c r="C90" s="295"/>
      <c r="D90" s="295"/>
      <c r="E90" s="91">
        <f>E91+E92</f>
        <v>0</v>
      </c>
      <c r="F90" s="91">
        <f>F91+F92</f>
        <v>0</v>
      </c>
      <c r="G90" s="340" t="s">
        <v>249</v>
      </c>
      <c r="H90" s="341"/>
      <c r="I90" s="341"/>
      <c r="J90" s="341"/>
      <c r="K90" s="341"/>
      <c r="L90" s="341"/>
      <c r="M90" s="341"/>
      <c r="N90" s="341"/>
      <c r="O90" s="341"/>
      <c r="P90" s="341"/>
      <c r="Q90" s="341"/>
      <c r="R90" s="341"/>
      <c r="S90" s="341"/>
      <c r="T90" s="341"/>
      <c r="U90" s="341"/>
      <c r="V90" s="341"/>
    </row>
    <row r="91" spans="1:22" s="139" customFormat="1" x14ac:dyDescent="0.2">
      <c r="A91" s="270"/>
      <c r="B91" s="335" t="s">
        <v>162</v>
      </c>
      <c r="C91" s="336"/>
      <c r="D91" s="337"/>
      <c r="E91" s="146">
        <f>(((E39+E45+E46)*40%)*8%)*0%</f>
        <v>0</v>
      </c>
      <c r="F91" s="146">
        <f>(((E39+E45+E46)*40%)*8%)*0%</f>
        <v>0</v>
      </c>
      <c r="G91" s="45"/>
      <c r="H91" s="45"/>
    </row>
    <row r="92" spans="1:22" s="139" customFormat="1" ht="15" customHeight="1" x14ac:dyDescent="0.2">
      <c r="A92" s="271"/>
      <c r="B92" s="335" t="s">
        <v>163</v>
      </c>
      <c r="C92" s="336"/>
      <c r="D92" s="337"/>
      <c r="E92" s="146">
        <f>(((E39+E45+E46)*10%)*8%)*0%</f>
        <v>0</v>
      </c>
      <c r="F92" s="146">
        <f>(((E39+E45+E46)*10%)*8%)*0%</f>
        <v>0</v>
      </c>
      <c r="G92" s="45"/>
      <c r="H92" s="45"/>
    </row>
    <row r="93" spans="1:22" s="139" customFormat="1" x14ac:dyDescent="0.2">
      <c r="A93" s="125" t="s">
        <v>10</v>
      </c>
      <c r="B93" s="295" t="s">
        <v>74</v>
      </c>
      <c r="C93" s="295"/>
      <c r="D93" s="295"/>
      <c r="E93" s="34">
        <f>(((E39/30)/12)*7)*100%</f>
        <v>0</v>
      </c>
      <c r="F93" s="34">
        <f>(((E39/30)/12)*7)*100%</f>
        <v>0</v>
      </c>
      <c r="G93" s="45" t="s">
        <v>251</v>
      </c>
      <c r="H93" s="45"/>
    </row>
    <row r="94" spans="1:22" s="139" customFormat="1" ht="29.25" customHeight="1" x14ac:dyDescent="0.2">
      <c r="A94" s="122" t="s">
        <v>34</v>
      </c>
      <c r="B94" s="348" t="s">
        <v>75</v>
      </c>
      <c r="C94" s="348"/>
      <c r="D94" s="348"/>
      <c r="E94" s="34" t="e">
        <f>E93*E62</f>
        <v>#DIV/0!</v>
      </c>
      <c r="F94" s="34" t="e">
        <f>F93*F62</f>
        <v>#DIV/0!</v>
      </c>
      <c r="G94" s="45" t="s">
        <v>227</v>
      </c>
      <c r="H94" s="47"/>
    </row>
    <row r="95" spans="1:22" s="139" customFormat="1" ht="29.25" customHeight="1" x14ac:dyDescent="0.2">
      <c r="A95" s="41" t="s">
        <v>36</v>
      </c>
      <c r="B95" s="295" t="s">
        <v>76</v>
      </c>
      <c r="C95" s="295"/>
      <c r="D95" s="295"/>
      <c r="E95" s="40">
        <f>SUM(E96:E97)</f>
        <v>0</v>
      </c>
      <c r="F95" s="34">
        <f>SUM(F96:F97)</f>
        <v>0</v>
      </c>
      <c r="G95" s="45" t="s">
        <v>228</v>
      </c>
      <c r="H95" s="47"/>
    </row>
    <row r="96" spans="1:22" s="139" customFormat="1" x14ac:dyDescent="0.2">
      <c r="A96" s="42"/>
      <c r="B96" s="342" t="s">
        <v>162</v>
      </c>
      <c r="C96" s="342"/>
      <c r="D96" s="342"/>
      <c r="E96" s="146">
        <f>(((E39+E45+E46)*40%)*8%)*100%</f>
        <v>0</v>
      </c>
      <c r="F96" s="147">
        <f>(((E39+E45+E46)*40%)*8%)*100%</f>
        <v>0</v>
      </c>
      <c r="G96" s="45" t="s">
        <v>164</v>
      </c>
      <c r="H96" s="45"/>
    </row>
    <row r="97" spans="1:27" s="139" customFormat="1" x14ac:dyDescent="0.2">
      <c r="A97" s="43"/>
      <c r="B97" s="342" t="s">
        <v>163</v>
      </c>
      <c r="C97" s="342"/>
      <c r="D97" s="342"/>
      <c r="E97" s="146">
        <f>(((E39+E45+E46)*10%)*8%)*100%</f>
        <v>0</v>
      </c>
      <c r="F97" s="147">
        <f>(((E39+E45+E46)*10%)*8%)*100%</f>
        <v>0</v>
      </c>
      <c r="G97" s="45" t="s">
        <v>229</v>
      </c>
      <c r="H97" s="14"/>
    </row>
    <row r="98" spans="1:27" x14ac:dyDescent="0.2">
      <c r="A98" s="320" t="s">
        <v>40</v>
      </c>
      <c r="B98" s="349"/>
      <c r="C98" s="349"/>
      <c r="D98" s="321"/>
      <c r="E98" s="35" t="e">
        <f>SUM(E88,E89,E90,E93,E94,E95)</f>
        <v>#DIV/0!</v>
      </c>
      <c r="F98" s="35" t="e">
        <f>SUM(F88,F89,F90,F93,F94,F95)</f>
        <v>#DIV/0!</v>
      </c>
      <c r="G98" s="76"/>
      <c r="H98" s="15"/>
    </row>
    <row r="99" spans="1:27" x14ac:dyDescent="0.2">
      <c r="A99" s="2"/>
      <c r="B99" s="2"/>
      <c r="C99" s="2"/>
      <c r="D99" s="2"/>
      <c r="E99" s="2"/>
      <c r="F99" s="2"/>
      <c r="G99" s="2"/>
    </row>
    <row r="100" spans="1:27" x14ac:dyDescent="0.2">
      <c r="A100" s="6" t="s">
        <v>77</v>
      </c>
      <c r="B100" s="6"/>
      <c r="C100" s="6"/>
      <c r="D100" s="6"/>
      <c r="E100" s="117"/>
      <c r="F100" s="6"/>
      <c r="G100" s="6"/>
      <c r="H100" s="5"/>
      <c r="I100" s="133"/>
    </row>
    <row r="101" spans="1:27" ht="8.25" customHeight="1" x14ac:dyDescent="0.2">
      <c r="A101" s="5"/>
      <c r="B101" s="5"/>
      <c r="C101" s="5"/>
      <c r="D101" s="5"/>
      <c r="E101" s="5"/>
      <c r="F101" s="5"/>
      <c r="G101" s="5"/>
      <c r="H101" s="5"/>
      <c r="I101" s="133"/>
    </row>
    <row r="102" spans="1:27" s="139" customFormat="1" ht="41.25" customHeight="1" x14ac:dyDescent="0.2">
      <c r="A102" s="315" t="s">
        <v>212</v>
      </c>
      <c r="B102" s="315"/>
      <c r="C102" s="315"/>
      <c r="D102" s="315"/>
      <c r="E102" s="315"/>
      <c r="F102" s="315"/>
      <c r="G102" s="315"/>
      <c r="H102" s="31"/>
      <c r="I102" s="138"/>
    </row>
    <row r="103" spans="1:27" s="139" customFormat="1" x14ac:dyDescent="0.2">
      <c r="A103" s="315" t="s">
        <v>213</v>
      </c>
      <c r="B103" s="315"/>
      <c r="C103" s="315"/>
      <c r="D103" s="315"/>
      <c r="E103" s="315"/>
      <c r="F103" s="315"/>
      <c r="G103" s="315"/>
      <c r="H103" s="31"/>
      <c r="I103" s="138"/>
    </row>
    <row r="104" spans="1:27" x14ac:dyDescent="0.2">
      <c r="A104" s="5"/>
      <c r="B104" s="5"/>
      <c r="C104" s="5"/>
      <c r="D104" s="5"/>
      <c r="E104" s="5"/>
      <c r="F104" s="5"/>
      <c r="G104" s="5"/>
      <c r="H104" s="5"/>
      <c r="I104" s="133"/>
    </row>
    <row r="105" spans="1:27" x14ac:dyDescent="0.2">
      <c r="A105" s="5" t="s">
        <v>78</v>
      </c>
      <c r="B105" s="5"/>
      <c r="C105" s="5"/>
      <c r="D105" s="5"/>
      <c r="E105" s="5"/>
      <c r="F105" s="5"/>
      <c r="G105" s="5"/>
      <c r="H105" s="116"/>
      <c r="I105" s="133"/>
    </row>
    <row r="106" spans="1:27" ht="38.25" x14ac:dyDescent="0.2">
      <c r="A106" s="124" t="s">
        <v>79</v>
      </c>
      <c r="B106" s="299" t="s">
        <v>80</v>
      </c>
      <c r="C106" s="299"/>
      <c r="D106" s="299"/>
      <c r="E106" s="119" t="s">
        <v>157</v>
      </c>
      <c r="F106" s="119" t="s">
        <v>158</v>
      </c>
      <c r="G106" s="120"/>
      <c r="H106" s="114"/>
    </row>
    <row r="107" spans="1:27" ht="74.25" customHeight="1" x14ac:dyDescent="0.2">
      <c r="A107" s="125" t="s">
        <v>4</v>
      </c>
      <c r="B107" s="295" t="s">
        <v>81</v>
      </c>
      <c r="C107" s="295"/>
      <c r="D107" s="295"/>
      <c r="E107" s="132">
        <v>0</v>
      </c>
      <c r="F107" s="132">
        <v>0</v>
      </c>
      <c r="G107" s="338" t="s">
        <v>252</v>
      </c>
      <c r="H107" s="339"/>
      <c r="I107" s="339"/>
      <c r="J107" s="339"/>
      <c r="K107" s="339"/>
      <c r="L107" s="339"/>
      <c r="M107" s="339"/>
      <c r="N107" s="339"/>
      <c r="O107" s="339"/>
      <c r="P107" s="339"/>
      <c r="Q107" s="339"/>
      <c r="R107" s="339"/>
      <c r="S107" s="339"/>
      <c r="T107" s="339"/>
      <c r="U107" s="339"/>
      <c r="V107" s="339"/>
      <c r="W107" s="339"/>
      <c r="X107" s="339"/>
      <c r="Y107" s="339"/>
      <c r="Z107" s="339"/>
      <c r="AA107" s="339"/>
    </row>
    <row r="108" spans="1:27" x14ac:dyDescent="0.2">
      <c r="A108" s="125" t="s">
        <v>6</v>
      </c>
      <c r="B108" s="295" t="s">
        <v>80</v>
      </c>
      <c r="C108" s="295"/>
      <c r="D108" s="295"/>
      <c r="E108" s="34">
        <f>((E39/30)/12)*1</f>
        <v>0</v>
      </c>
      <c r="F108" s="34">
        <f>((E39/30)/12)*1</f>
        <v>0</v>
      </c>
      <c r="G108" s="45" t="s">
        <v>180</v>
      </c>
      <c r="H108" s="45"/>
    </row>
    <row r="109" spans="1:27" x14ac:dyDescent="0.2">
      <c r="A109" s="125" t="s">
        <v>8</v>
      </c>
      <c r="B109" s="295" t="s">
        <v>82</v>
      </c>
      <c r="C109" s="295"/>
      <c r="D109" s="295"/>
      <c r="E109" s="34">
        <f>(((E39/30)/12*5)*1.5%)</f>
        <v>0</v>
      </c>
      <c r="F109" s="34">
        <f>(((E39/30)/12*5)*1.5%)</f>
        <v>0</v>
      </c>
      <c r="G109" s="45" t="s">
        <v>181</v>
      </c>
      <c r="H109" s="45"/>
    </row>
    <row r="110" spans="1:27" ht="15" customHeight="1" x14ac:dyDescent="0.2">
      <c r="A110" s="125" t="s">
        <v>10</v>
      </c>
      <c r="B110" s="295" t="s">
        <v>83</v>
      </c>
      <c r="C110" s="295"/>
      <c r="D110" s="295"/>
      <c r="E110" s="34">
        <f>(((E39/30)/12)*15)*8%</f>
        <v>0</v>
      </c>
      <c r="F110" s="34">
        <f>(((E39/30)/12)*15)*8%</f>
        <v>0</v>
      </c>
      <c r="G110" s="45" t="s">
        <v>165</v>
      </c>
      <c r="H110" s="45"/>
    </row>
    <row r="111" spans="1:27" ht="15" customHeight="1" x14ac:dyDescent="0.2">
      <c r="A111" s="125" t="s">
        <v>34</v>
      </c>
      <c r="B111" s="295" t="s">
        <v>84</v>
      </c>
      <c r="C111" s="295"/>
      <c r="D111" s="295"/>
      <c r="E111" s="34" t="s">
        <v>127</v>
      </c>
      <c r="F111" s="34" t="s">
        <v>127</v>
      </c>
      <c r="G111" s="45" t="s">
        <v>168</v>
      </c>
      <c r="H111" s="45"/>
    </row>
    <row r="112" spans="1:27" x14ac:dyDescent="0.2">
      <c r="A112" s="125" t="s">
        <v>36</v>
      </c>
      <c r="B112" s="295" t="s">
        <v>39</v>
      </c>
      <c r="C112" s="295"/>
      <c r="D112" s="295"/>
      <c r="E112" s="34">
        <f>(((E39/30)/12)*5*40%)</f>
        <v>0</v>
      </c>
      <c r="F112" s="34">
        <f>(((E39/30)/12)*5*40%)</f>
        <v>0</v>
      </c>
      <c r="G112" s="46" t="s">
        <v>182</v>
      </c>
      <c r="H112" s="46"/>
    </row>
    <row r="113" spans="1:9" ht="26.25" customHeight="1" x14ac:dyDescent="0.2">
      <c r="A113" s="125" t="s">
        <v>38</v>
      </c>
      <c r="B113" s="295" t="s">
        <v>166</v>
      </c>
      <c r="C113" s="295"/>
      <c r="D113" s="295"/>
      <c r="E113" s="34" t="e">
        <f>(E108+E109+E110+E112)*E62</f>
        <v>#DIV/0!</v>
      </c>
      <c r="F113" s="34" t="e">
        <f>(F108+F109+F110+F112)*F62</f>
        <v>#DIV/0!</v>
      </c>
      <c r="G113" s="45" t="s">
        <v>167</v>
      </c>
      <c r="H113" s="45"/>
    </row>
    <row r="114" spans="1:9" x14ac:dyDescent="0.2">
      <c r="A114" s="299" t="s">
        <v>40</v>
      </c>
      <c r="B114" s="299"/>
      <c r="C114" s="299"/>
      <c r="D114" s="299"/>
      <c r="E114" s="35" t="e">
        <f>SUM(E107:E113)</f>
        <v>#DIV/0!</v>
      </c>
      <c r="F114" s="35" t="e">
        <f>SUM(F107:F113)</f>
        <v>#DIV/0!</v>
      </c>
      <c r="G114" s="76"/>
      <c r="H114" s="15"/>
    </row>
    <row r="115" spans="1:9" ht="31.5" customHeight="1" x14ac:dyDescent="0.2">
      <c r="A115" s="315" t="s">
        <v>214</v>
      </c>
      <c r="B115" s="315"/>
      <c r="C115" s="315"/>
      <c r="D115" s="315"/>
      <c r="E115" s="315"/>
      <c r="F115" s="315"/>
      <c r="G115" s="315"/>
    </row>
    <row r="116" spans="1:9" x14ac:dyDescent="0.2">
      <c r="B116" s="5"/>
      <c r="C116" s="5"/>
      <c r="D116" s="5"/>
      <c r="E116" s="5"/>
      <c r="F116" s="5"/>
      <c r="G116" s="5"/>
      <c r="H116" s="39"/>
      <c r="I116" s="133"/>
    </row>
    <row r="117" spans="1:9" s="108" customFormat="1" x14ac:dyDescent="0.2">
      <c r="A117" s="54" t="s">
        <v>170</v>
      </c>
      <c r="B117" s="54"/>
      <c r="C117" s="54"/>
      <c r="D117" s="54"/>
      <c r="E117" s="54"/>
      <c r="F117" s="54"/>
      <c r="G117" s="54"/>
      <c r="H117" s="39"/>
      <c r="I117" s="144"/>
    </row>
    <row r="118" spans="1:9" ht="38.25" x14ac:dyDescent="0.2">
      <c r="A118" s="124" t="s">
        <v>174</v>
      </c>
      <c r="B118" s="299" t="s">
        <v>175</v>
      </c>
      <c r="C118" s="299"/>
      <c r="D118" s="299"/>
      <c r="E118" s="119" t="s">
        <v>157</v>
      </c>
      <c r="F118" s="119" t="s">
        <v>158</v>
      </c>
      <c r="G118" s="120"/>
      <c r="H118" s="39"/>
      <c r="I118" s="133"/>
    </row>
    <row r="119" spans="1:9" x14ac:dyDescent="0.2">
      <c r="A119" s="125" t="s">
        <v>4</v>
      </c>
      <c r="B119" s="295" t="s">
        <v>169</v>
      </c>
      <c r="C119" s="295"/>
      <c r="D119" s="295"/>
      <c r="E119" s="34">
        <f>(((E39+(E39*1/3))*(4/12))/12)*2%</f>
        <v>0</v>
      </c>
      <c r="F119" s="34">
        <f>(((E39+(E39*1/3))*(4/12))/12)*2%</f>
        <v>0</v>
      </c>
      <c r="G119" s="45" t="s">
        <v>178</v>
      </c>
      <c r="H119" s="45"/>
      <c r="I119" s="133"/>
    </row>
    <row r="120" spans="1:9" ht="26.25" customHeight="1" x14ac:dyDescent="0.2">
      <c r="A120" s="125" t="s">
        <v>6</v>
      </c>
      <c r="B120" s="295" t="s">
        <v>171</v>
      </c>
      <c r="C120" s="295"/>
      <c r="D120" s="295"/>
      <c r="E120" s="34" t="e">
        <f>E119*E62</f>
        <v>#DIV/0!</v>
      </c>
      <c r="F120" s="34" t="e">
        <f>F119*F62</f>
        <v>#DIV/0!</v>
      </c>
      <c r="G120" s="45" t="s">
        <v>176</v>
      </c>
      <c r="H120" s="45"/>
      <c r="I120" s="133"/>
    </row>
    <row r="121" spans="1:9" ht="44.25" customHeight="1" x14ac:dyDescent="0.2">
      <c r="A121" s="125" t="s">
        <v>8</v>
      </c>
      <c r="B121" s="295" t="s">
        <v>172</v>
      </c>
      <c r="C121" s="295"/>
      <c r="D121" s="295"/>
      <c r="E121" s="34" t="e">
        <f>(((E39+E45)*(4/12))*2%)*E62</f>
        <v>#DIV/0!</v>
      </c>
      <c r="F121" s="34" t="e">
        <f>(((E39+E45)*(4/12))*2%)*F62</f>
        <v>#DIV/0!</v>
      </c>
      <c r="G121" s="45" t="s">
        <v>179</v>
      </c>
      <c r="H121" s="45"/>
      <c r="I121" s="133"/>
    </row>
    <row r="122" spans="1:9" x14ac:dyDescent="0.2">
      <c r="A122" s="125" t="s">
        <v>10</v>
      </c>
      <c r="B122" s="295" t="s">
        <v>173</v>
      </c>
      <c r="C122" s="295"/>
      <c r="D122" s="295"/>
      <c r="E122" s="34" t="s">
        <v>127</v>
      </c>
      <c r="F122" s="34" t="s">
        <v>127</v>
      </c>
      <c r="G122" s="76"/>
      <c r="H122" s="39"/>
      <c r="I122" s="133"/>
    </row>
    <row r="123" spans="1:9" ht="15" customHeight="1" x14ac:dyDescent="0.2">
      <c r="A123" s="299" t="s">
        <v>40</v>
      </c>
      <c r="B123" s="299"/>
      <c r="C123" s="299"/>
      <c r="D123" s="299"/>
      <c r="E123" s="35" t="e">
        <f>SUM(E119:E122)</f>
        <v>#DIV/0!</v>
      </c>
      <c r="F123" s="35" t="e">
        <f>SUM(F119:F122)</f>
        <v>#DIV/0!</v>
      </c>
      <c r="G123" s="76"/>
      <c r="H123" s="39"/>
      <c r="I123" s="133"/>
    </row>
    <row r="124" spans="1:9" ht="15" customHeight="1" x14ac:dyDescent="0.2">
      <c r="B124" s="5"/>
      <c r="C124" s="5"/>
      <c r="D124" s="5"/>
      <c r="E124" s="5"/>
      <c r="F124" s="5"/>
      <c r="G124" s="5"/>
      <c r="H124" s="39"/>
      <c r="I124" s="133"/>
    </row>
    <row r="125" spans="1:9" x14ac:dyDescent="0.2">
      <c r="A125" s="5" t="s">
        <v>85</v>
      </c>
      <c r="B125" s="5"/>
      <c r="C125" s="5"/>
      <c r="D125" s="5"/>
      <c r="E125" s="5"/>
      <c r="F125" s="5"/>
      <c r="G125" s="5"/>
      <c r="H125" s="5"/>
      <c r="I125" s="133"/>
    </row>
    <row r="126" spans="1:9" ht="38.25" x14ac:dyDescent="0.2">
      <c r="A126" s="124" t="s">
        <v>86</v>
      </c>
      <c r="B126" s="312" t="s">
        <v>87</v>
      </c>
      <c r="C126" s="313"/>
      <c r="D126" s="314"/>
      <c r="E126" s="119" t="s">
        <v>157</v>
      </c>
      <c r="F126" s="119" t="s">
        <v>158</v>
      </c>
      <c r="G126" s="120"/>
    </row>
    <row r="127" spans="1:9" ht="15" customHeight="1" x14ac:dyDescent="0.2">
      <c r="A127" s="125" t="s">
        <v>4</v>
      </c>
      <c r="B127" s="308" t="s">
        <v>88</v>
      </c>
      <c r="C127" s="311"/>
      <c r="D127" s="309"/>
      <c r="E127" s="51" t="s">
        <v>127</v>
      </c>
      <c r="F127" s="48" t="s">
        <v>127</v>
      </c>
      <c r="G127" s="45" t="s">
        <v>177</v>
      </c>
      <c r="H127" s="45"/>
    </row>
    <row r="128" spans="1:9" x14ac:dyDescent="0.2">
      <c r="A128" s="312" t="s">
        <v>40</v>
      </c>
      <c r="B128" s="313"/>
      <c r="C128" s="313"/>
      <c r="D128" s="314"/>
      <c r="E128" s="28" t="str">
        <f>E127</f>
        <v>-</v>
      </c>
      <c r="F128" s="28" t="str">
        <f>F127</f>
        <v>-</v>
      </c>
      <c r="G128" s="80"/>
    </row>
    <row r="129" spans="1:9" ht="29.25" customHeight="1" x14ac:dyDescent="0.2">
      <c r="A129" s="315" t="s">
        <v>215</v>
      </c>
      <c r="B129" s="315"/>
      <c r="C129" s="315"/>
      <c r="D129" s="315"/>
      <c r="E129" s="315"/>
      <c r="F129" s="315"/>
      <c r="G129" s="315"/>
    </row>
    <row r="130" spans="1:9" x14ac:dyDescent="0.2">
      <c r="B130" s="5"/>
      <c r="C130" s="5"/>
      <c r="D130" s="5"/>
      <c r="E130" s="5"/>
      <c r="F130" s="5"/>
      <c r="G130" s="5"/>
      <c r="H130" s="5"/>
      <c r="I130" s="133"/>
    </row>
    <row r="131" spans="1:9" x14ac:dyDescent="0.2">
      <c r="A131" s="5" t="s">
        <v>89</v>
      </c>
      <c r="B131" s="5"/>
      <c r="C131" s="5"/>
      <c r="D131" s="5"/>
      <c r="E131" s="5"/>
      <c r="F131" s="5"/>
      <c r="G131" s="5"/>
      <c r="H131" s="5"/>
      <c r="I131" s="133"/>
    </row>
    <row r="132" spans="1:9" ht="38.25" x14ac:dyDescent="0.2">
      <c r="A132" s="119">
        <v>4</v>
      </c>
      <c r="B132" s="276" t="s">
        <v>90</v>
      </c>
      <c r="C132" s="310"/>
      <c r="D132" s="277"/>
      <c r="E132" s="119" t="s">
        <v>157</v>
      </c>
      <c r="F132" s="119" t="s">
        <v>158</v>
      </c>
      <c r="G132" s="120"/>
    </row>
    <row r="133" spans="1:9" x14ac:dyDescent="0.2">
      <c r="A133" s="125" t="s">
        <v>79</v>
      </c>
      <c r="B133" s="308" t="s">
        <v>80</v>
      </c>
      <c r="C133" s="311"/>
      <c r="D133" s="309"/>
      <c r="E133" s="34" t="e">
        <f>E114</f>
        <v>#DIV/0!</v>
      </c>
      <c r="F133" s="34" t="e">
        <f>F114</f>
        <v>#DIV/0!</v>
      </c>
      <c r="G133" s="76"/>
    </row>
    <row r="134" spans="1:9" ht="15" customHeight="1" x14ac:dyDescent="0.2">
      <c r="A134" s="125" t="s">
        <v>174</v>
      </c>
      <c r="B134" s="308" t="s">
        <v>183</v>
      </c>
      <c r="C134" s="311"/>
      <c r="D134" s="309"/>
      <c r="E134" s="49" t="e">
        <f>E123</f>
        <v>#DIV/0!</v>
      </c>
      <c r="F134" s="49" t="e">
        <f>F123</f>
        <v>#DIV/0!</v>
      </c>
      <c r="G134" s="81"/>
    </row>
    <row r="135" spans="1:9" x14ac:dyDescent="0.2">
      <c r="A135" s="125" t="s">
        <v>86</v>
      </c>
      <c r="B135" s="308" t="s">
        <v>87</v>
      </c>
      <c r="C135" s="311"/>
      <c r="D135" s="309"/>
      <c r="E135" s="49" t="str">
        <f>E128</f>
        <v>-</v>
      </c>
      <c r="F135" s="49" t="str">
        <f>F128</f>
        <v>-</v>
      </c>
      <c r="G135" s="81"/>
    </row>
    <row r="136" spans="1:9" x14ac:dyDescent="0.2">
      <c r="A136" s="312" t="s">
        <v>40</v>
      </c>
      <c r="B136" s="313"/>
      <c r="C136" s="313"/>
      <c r="D136" s="314"/>
      <c r="E136" s="50" t="e">
        <f>SUM(E133:E135)</f>
        <v>#DIV/0!</v>
      </c>
      <c r="F136" s="50" t="e">
        <f>SUM(F133:F135)</f>
        <v>#DIV/0!</v>
      </c>
      <c r="G136" s="82"/>
    </row>
    <row r="137" spans="1:9" x14ac:dyDescent="0.2">
      <c r="A137" s="3"/>
      <c r="B137" s="3"/>
      <c r="C137" s="3"/>
      <c r="D137" s="3"/>
      <c r="E137" s="3"/>
      <c r="F137" s="3"/>
      <c r="G137" s="3"/>
    </row>
    <row r="138" spans="1:9" x14ac:dyDescent="0.2">
      <c r="A138" s="6" t="s">
        <v>91</v>
      </c>
      <c r="B138" s="6"/>
      <c r="C138" s="6"/>
      <c r="D138" s="6"/>
      <c r="E138" s="6"/>
      <c r="F138" s="6"/>
      <c r="G138" s="6"/>
      <c r="H138" s="5"/>
      <c r="I138" s="133"/>
    </row>
    <row r="139" spans="1:9" x14ac:dyDescent="0.2">
      <c r="A139" s="3"/>
      <c r="B139" s="3"/>
      <c r="C139" s="3"/>
      <c r="D139" s="3"/>
      <c r="E139" s="3"/>
      <c r="F139" s="3"/>
      <c r="G139" s="3"/>
    </row>
    <row r="140" spans="1:9" x14ac:dyDescent="0.2">
      <c r="A140" s="124">
        <v>5</v>
      </c>
      <c r="B140" s="299" t="s">
        <v>92</v>
      </c>
      <c r="C140" s="299"/>
      <c r="D140" s="124" t="s">
        <v>29</v>
      </c>
      <c r="E140" s="16"/>
      <c r="F140" s="16"/>
      <c r="G140" s="16"/>
    </row>
    <row r="141" spans="1:9" x14ac:dyDescent="0.2">
      <c r="A141" s="125" t="s">
        <v>4</v>
      </c>
      <c r="B141" s="295" t="s">
        <v>244</v>
      </c>
      <c r="C141" s="295"/>
      <c r="D141" s="91" t="e">
        <f>'ANEXO VI-Uniformes e EPIs'!G18</f>
        <v>#DIV/0!</v>
      </c>
      <c r="E141" s="45" t="s">
        <v>415</v>
      </c>
      <c r="F141" s="14"/>
      <c r="G141" s="14"/>
    </row>
    <row r="142" spans="1:9" x14ac:dyDescent="0.2">
      <c r="A142" s="125" t="s">
        <v>6</v>
      </c>
      <c r="B142" s="295" t="s">
        <v>242</v>
      </c>
      <c r="C142" s="295"/>
      <c r="D142" s="91" t="e">
        <f>'ANEXO III-Materiais e Produtos'!H43/17</f>
        <v>#DIV/0!</v>
      </c>
      <c r="E142" s="45" t="s">
        <v>413</v>
      </c>
      <c r="F142" s="14"/>
      <c r="G142" s="14"/>
    </row>
    <row r="143" spans="1:9" x14ac:dyDescent="0.2">
      <c r="A143" s="125" t="s">
        <v>8</v>
      </c>
      <c r="B143" s="295" t="s">
        <v>243</v>
      </c>
      <c r="C143" s="295"/>
      <c r="D143" s="91" t="e">
        <f>'ANEXO IV-Equip. e Utensílios'!G38/17</f>
        <v>#DIV/0!</v>
      </c>
      <c r="E143" s="45" t="s">
        <v>414</v>
      </c>
      <c r="F143" s="14"/>
      <c r="G143" s="14"/>
    </row>
    <row r="144" spans="1:9" x14ac:dyDescent="0.2">
      <c r="A144" s="125" t="s">
        <v>34</v>
      </c>
      <c r="B144" s="295" t="s">
        <v>39</v>
      </c>
      <c r="C144" s="295"/>
      <c r="D144" s="34">
        <v>0</v>
      </c>
      <c r="E144" s="45"/>
      <c r="F144" s="14"/>
      <c r="G144" s="14"/>
    </row>
    <row r="145" spans="1:21" x14ac:dyDescent="0.2">
      <c r="A145" s="299" t="s">
        <v>40</v>
      </c>
      <c r="B145" s="299"/>
      <c r="C145" s="299"/>
      <c r="D145" s="35" t="e">
        <f>SUM(D141:D144)</f>
        <v>#DIV/0!</v>
      </c>
      <c r="E145" s="15"/>
      <c r="F145" s="15"/>
      <c r="G145" s="15"/>
    </row>
    <row r="146" spans="1:21" x14ac:dyDescent="0.2">
      <c r="A146" s="23" t="s">
        <v>216</v>
      </c>
      <c r="B146" s="23"/>
      <c r="C146" s="23"/>
      <c r="D146" s="23"/>
      <c r="E146" s="23"/>
      <c r="F146" s="23"/>
      <c r="G146" s="23"/>
      <c r="H146" s="5"/>
      <c r="I146" s="133"/>
    </row>
    <row r="147" spans="1:21" ht="31.5" customHeight="1" x14ac:dyDescent="0.2">
      <c r="A147" s="315" t="s">
        <v>418</v>
      </c>
      <c r="B147" s="315"/>
      <c r="C147" s="315"/>
      <c r="D147" s="315"/>
      <c r="E147" s="315"/>
      <c r="F147" s="315"/>
      <c r="G147" s="315"/>
      <c r="H147" s="5"/>
      <c r="I147" s="133"/>
    </row>
    <row r="148" spans="1:21" x14ac:dyDescent="0.2">
      <c r="A148" s="5"/>
      <c r="B148" s="5"/>
      <c r="C148" s="5"/>
      <c r="D148" s="5"/>
      <c r="E148" s="5"/>
      <c r="F148" s="5"/>
      <c r="G148" s="5"/>
      <c r="H148" s="5"/>
      <c r="I148" s="133"/>
    </row>
    <row r="149" spans="1:21" x14ac:dyDescent="0.2">
      <c r="A149" s="6" t="s">
        <v>93</v>
      </c>
      <c r="B149" s="6"/>
      <c r="C149" s="6"/>
      <c r="D149" s="6"/>
      <c r="E149" s="6"/>
      <c r="F149" s="6"/>
      <c r="G149" s="6"/>
      <c r="H149" s="5"/>
      <c r="I149" s="133"/>
    </row>
    <row r="150" spans="1:21" x14ac:dyDescent="0.2">
      <c r="A150" s="3"/>
      <c r="B150" s="3"/>
      <c r="C150" s="3"/>
      <c r="D150" s="3"/>
      <c r="E150" s="3"/>
      <c r="F150" s="3"/>
      <c r="G150" s="3"/>
    </row>
    <row r="151" spans="1:21" ht="27" customHeight="1" x14ac:dyDescent="0.2">
      <c r="A151" s="298">
        <v>6</v>
      </c>
      <c r="B151" s="318" t="s">
        <v>94</v>
      </c>
      <c r="C151" s="319"/>
      <c r="D151" s="296" t="s">
        <v>184</v>
      </c>
      <c r="E151" s="296"/>
      <c r="F151" s="296" t="s">
        <v>185</v>
      </c>
      <c r="G151" s="296"/>
      <c r="H151" s="296" t="s">
        <v>158</v>
      </c>
      <c r="I151" s="296"/>
      <c r="J151" s="343"/>
      <c r="K151" s="343"/>
    </row>
    <row r="152" spans="1:21" x14ac:dyDescent="0.2">
      <c r="A152" s="317"/>
      <c r="B152" s="320"/>
      <c r="C152" s="321"/>
      <c r="D152" s="119" t="s">
        <v>186</v>
      </c>
      <c r="E152" s="119" t="s">
        <v>187</v>
      </c>
      <c r="F152" s="119" t="s">
        <v>186</v>
      </c>
      <c r="G152" s="119" t="s">
        <v>187</v>
      </c>
      <c r="H152" s="119" t="s">
        <v>186</v>
      </c>
      <c r="I152" s="119" t="s">
        <v>187</v>
      </c>
      <c r="J152" s="120"/>
      <c r="K152" s="120"/>
    </row>
    <row r="153" spans="1:21" x14ac:dyDescent="0.2">
      <c r="A153" s="125" t="s">
        <v>4</v>
      </c>
      <c r="B153" s="308" t="s">
        <v>95</v>
      </c>
      <c r="C153" s="309"/>
      <c r="D153" s="148">
        <v>0</v>
      </c>
      <c r="E153" s="91" t="e">
        <f>(E39+E84+E98+E136+D145)*D153</f>
        <v>#DIV/0!</v>
      </c>
      <c r="F153" s="148">
        <f>D153</f>
        <v>0</v>
      </c>
      <c r="G153" s="91" t="e">
        <f>(E39+E84+E98+E136+D145)*F153</f>
        <v>#DIV/0!</v>
      </c>
      <c r="H153" s="148">
        <f>F153</f>
        <v>0</v>
      </c>
      <c r="I153" s="91" t="e">
        <f>(E39+F84+F98+F136+D145)*H153</f>
        <v>#DIV/0!</v>
      </c>
      <c r="J153" s="45" t="s">
        <v>417</v>
      </c>
      <c r="K153" s="108"/>
      <c r="L153" s="108"/>
      <c r="M153" s="108"/>
      <c r="N153" s="108"/>
      <c r="O153" s="108"/>
      <c r="P153" s="108"/>
      <c r="Q153" s="108"/>
      <c r="R153" s="108"/>
      <c r="S153" s="108"/>
      <c r="T153" s="108"/>
    </row>
    <row r="154" spans="1:21" x14ac:dyDescent="0.2">
      <c r="A154" s="125" t="s">
        <v>6</v>
      </c>
      <c r="B154" s="308" t="s">
        <v>96</v>
      </c>
      <c r="C154" s="309"/>
      <c r="D154" s="148">
        <v>0</v>
      </c>
      <c r="E154" s="149" t="e">
        <f>(E39+E84+E98+E136+D145+E153)*D154</f>
        <v>#DIV/0!</v>
      </c>
      <c r="F154" s="148">
        <f>D154</f>
        <v>0</v>
      </c>
      <c r="G154" s="91" t="e">
        <f>(E39+E84+E98+E136+D145+G153)*F154</f>
        <v>#DIV/0!</v>
      </c>
      <c r="H154" s="148">
        <f>F154</f>
        <v>0</v>
      </c>
      <c r="I154" s="91" t="e">
        <f>(E39+F84+F98+F136+D145+I153)*H154</f>
        <v>#DIV/0!</v>
      </c>
      <c r="J154" s="45" t="s">
        <v>417</v>
      </c>
      <c r="K154" s="108"/>
      <c r="L154" s="108"/>
      <c r="M154" s="108"/>
      <c r="N154" s="108"/>
      <c r="O154" s="108"/>
      <c r="P154" s="108"/>
      <c r="Q154" s="108"/>
      <c r="R154" s="108"/>
      <c r="S154" s="108"/>
      <c r="T154" s="108"/>
    </row>
    <row r="155" spans="1:21" x14ac:dyDescent="0.2">
      <c r="A155" s="125" t="s">
        <v>8</v>
      </c>
      <c r="B155" s="308" t="s">
        <v>97</v>
      </c>
      <c r="C155" s="309"/>
      <c r="D155" s="150" t="s">
        <v>127</v>
      </c>
      <c r="E155" s="151" t="e">
        <f>E157+E160+E161</f>
        <v>#DIV/0!</v>
      </c>
      <c r="F155" s="150" t="s">
        <v>127</v>
      </c>
      <c r="G155" s="151" t="e">
        <f>G157+G160+G161</f>
        <v>#DIV/0!</v>
      </c>
      <c r="H155" s="150" t="s">
        <v>127</v>
      </c>
      <c r="I155" s="151" t="e">
        <f>I157+I160+I161</f>
        <v>#DIV/0!</v>
      </c>
      <c r="J155" s="45" t="s">
        <v>219</v>
      </c>
    </row>
    <row r="156" spans="1:21" s="56" customFormat="1" ht="28.5" customHeight="1" x14ac:dyDescent="0.2">
      <c r="A156" s="53"/>
      <c r="B156" s="344" t="s">
        <v>188</v>
      </c>
      <c r="C156" s="345"/>
      <c r="D156" s="152">
        <f>1-((D158+D159+D162))</f>
        <v>0.88749999999999996</v>
      </c>
      <c r="E156" s="153" t="e">
        <f>(E39+E84+E98+E136+D145+E153+E154)/D156</f>
        <v>#DIV/0!</v>
      </c>
      <c r="F156" s="152">
        <f>1-((F158+F159+F162))</f>
        <v>0.94350000000000001</v>
      </c>
      <c r="G156" s="153" t="e">
        <f>(E39+E84+E98+E136+D145+G153+G154)/F156</f>
        <v>#DIV/0!</v>
      </c>
      <c r="H156" s="152">
        <f>1-((H158+H159+H162))</f>
        <v>0.95350000000000001</v>
      </c>
      <c r="I156" s="153" t="e">
        <f>(E39+F84+F98+F136+D145+I153+I154)/H156</f>
        <v>#DIV/0!</v>
      </c>
      <c r="J156" s="346" t="s">
        <v>200</v>
      </c>
      <c r="K156" s="346"/>
      <c r="L156" s="346"/>
      <c r="M156" s="346"/>
      <c r="N156" s="346"/>
      <c r="O156" s="346"/>
      <c r="P156" s="346"/>
      <c r="Q156" s="346"/>
      <c r="R156" s="346"/>
      <c r="S156" s="346"/>
      <c r="T156" s="346"/>
      <c r="U156" s="121"/>
    </row>
    <row r="157" spans="1:21" x14ac:dyDescent="0.2">
      <c r="A157" s="125"/>
      <c r="B157" s="308" t="s">
        <v>189</v>
      </c>
      <c r="C157" s="309"/>
      <c r="D157" s="154" t="s">
        <v>127</v>
      </c>
      <c r="E157" s="151" t="e">
        <f>SUM(E158:E159)</f>
        <v>#DIV/0!</v>
      </c>
      <c r="F157" s="154" t="s">
        <v>127</v>
      </c>
      <c r="G157" s="151" t="e">
        <f>SUM(G158:G159)</f>
        <v>#DIV/0!</v>
      </c>
      <c r="H157" s="154" t="s">
        <v>127</v>
      </c>
      <c r="I157" s="151" t="e">
        <f>SUM(I158:I159)</f>
        <v>#DIV/0!</v>
      </c>
      <c r="J157" s="45" t="s">
        <v>197</v>
      </c>
    </row>
    <row r="158" spans="1:21" s="56" customFormat="1" x14ac:dyDescent="0.2">
      <c r="A158" s="53"/>
      <c r="B158" s="344" t="s">
        <v>190</v>
      </c>
      <c r="C158" s="345"/>
      <c r="D158" s="155">
        <v>1.6500000000000001E-2</v>
      </c>
      <c r="E158" s="156" t="e">
        <f>E156*D158</f>
        <v>#DIV/0!</v>
      </c>
      <c r="F158" s="157">
        <v>6.4999999999999997E-3</v>
      </c>
      <c r="G158" s="156" t="e">
        <f>G156*F158</f>
        <v>#DIV/0!</v>
      </c>
      <c r="H158" s="157">
        <v>4.7000000000000002E-3</v>
      </c>
      <c r="I158" s="156" t="e">
        <f>I156*H158</f>
        <v>#DIV/0!</v>
      </c>
      <c r="J158" s="45" t="s">
        <v>196</v>
      </c>
    </row>
    <row r="159" spans="1:21" s="56" customFormat="1" x14ac:dyDescent="0.2">
      <c r="A159" s="53"/>
      <c r="B159" s="344" t="s">
        <v>191</v>
      </c>
      <c r="C159" s="345"/>
      <c r="D159" s="155">
        <v>7.5999999999999998E-2</v>
      </c>
      <c r="E159" s="156" t="e">
        <f>E156*D159</f>
        <v>#DIV/0!</v>
      </c>
      <c r="F159" s="157">
        <v>0.03</v>
      </c>
      <c r="G159" s="156" t="e">
        <f>G156*F159</f>
        <v>#DIV/0!</v>
      </c>
      <c r="H159" s="157">
        <v>2.18E-2</v>
      </c>
      <c r="I159" s="156" t="e">
        <f>I156*H159</f>
        <v>#DIV/0!</v>
      </c>
      <c r="J159" s="45" t="s">
        <v>195</v>
      </c>
    </row>
    <row r="160" spans="1:21" x14ac:dyDescent="0.2">
      <c r="A160" s="125"/>
      <c r="B160" s="308" t="s">
        <v>98</v>
      </c>
      <c r="C160" s="309"/>
      <c r="D160" s="150" t="s">
        <v>127</v>
      </c>
      <c r="E160" s="151">
        <v>0</v>
      </c>
      <c r="F160" s="150" t="s">
        <v>127</v>
      </c>
      <c r="G160" s="34">
        <v>0</v>
      </c>
      <c r="H160" s="150" t="s">
        <v>127</v>
      </c>
      <c r="I160" s="34">
        <v>0</v>
      </c>
      <c r="J160" s="45" t="s">
        <v>199</v>
      </c>
    </row>
    <row r="161" spans="1:11" ht="15" customHeight="1" x14ac:dyDescent="0.2">
      <c r="A161" s="125"/>
      <c r="B161" s="308" t="s">
        <v>193</v>
      </c>
      <c r="C161" s="309"/>
      <c r="D161" s="150" t="s">
        <v>127</v>
      </c>
      <c r="E161" s="151" t="e">
        <f>E162</f>
        <v>#DIV/0!</v>
      </c>
      <c r="F161" s="150" t="s">
        <v>127</v>
      </c>
      <c r="G161" s="151" t="e">
        <f>G162</f>
        <v>#DIV/0!</v>
      </c>
      <c r="H161" s="150" t="s">
        <v>127</v>
      </c>
      <c r="I161" s="151" t="e">
        <f>I162</f>
        <v>#DIV/0!</v>
      </c>
      <c r="J161" s="45" t="s">
        <v>198</v>
      </c>
    </row>
    <row r="162" spans="1:11" s="56" customFormat="1" x14ac:dyDescent="0.2">
      <c r="A162" s="53"/>
      <c r="B162" s="344" t="s">
        <v>192</v>
      </c>
      <c r="C162" s="345"/>
      <c r="D162" s="155">
        <v>0.02</v>
      </c>
      <c r="E162" s="156" t="e">
        <f>E156*D162</f>
        <v>#DIV/0!</v>
      </c>
      <c r="F162" s="158">
        <v>0.02</v>
      </c>
      <c r="G162" s="156" t="e">
        <f>G156*F162</f>
        <v>#DIV/0!</v>
      </c>
      <c r="H162" s="155">
        <v>0.02</v>
      </c>
      <c r="I162" s="156" t="e">
        <f>I156*H162</f>
        <v>#DIV/0!</v>
      </c>
      <c r="J162" s="45" t="s">
        <v>194</v>
      </c>
    </row>
    <row r="163" spans="1:11" x14ac:dyDescent="0.2">
      <c r="A163" s="312" t="s">
        <v>201</v>
      </c>
      <c r="B163" s="313"/>
      <c r="C163" s="314"/>
      <c r="D163" s="52" t="s">
        <v>127</v>
      </c>
      <c r="E163" s="159" t="e">
        <f>E153+E154+E155</f>
        <v>#DIV/0!</v>
      </c>
      <c r="F163" s="52" t="s">
        <v>127</v>
      </c>
      <c r="G163" s="159" t="e">
        <f>G153+G154+G155</f>
        <v>#DIV/0!</v>
      </c>
      <c r="H163" s="52" t="s">
        <v>127</v>
      </c>
      <c r="I163" s="159" t="e">
        <f>I153+I154+I155</f>
        <v>#DIV/0!</v>
      </c>
      <c r="J163" s="81"/>
      <c r="K163" s="160"/>
    </row>
    <row r="164" spans="1:11" x14ac:dyDescent="0.2">
      <c r="A164" s="23" t="s">
        <v>217</v>
      </c>
      <c r="B164" s="5"/>
      <c r="C164" s="5"/>
      <c r="D164" s="5"/>
      <c r="E164" s="5"/>
      <c r="F164" s="5"/>
      <c r="G164" s="5"/>
      <c r="H164" s="5"/>
      <c r="I164" s="133"/>
    </row>
    <row r="165" spans="1:11" x14ac:dyDescent="0.2">
      <c r="A165" s="23" t="s">
        <v>218</v>
      </c>
      <c r="B165" s="5"/>
      <c r="C165" s="5"/>
      <c r="D165" s="5"/>
      <c r="E165" s="5"/>
      <c r="F165" s="5"/>
      <c r="G165" s="5"/>
      <c r="H165" s="5"/>
      <c r="I165" s="133"/>
    </row>
    <row r="166" spans="1:11" x14ac:dyDescent="0.2">
      <c r="A166" s="5"/>
      <c r="B166" s="5"/>
      <c r="C166" s="5"/>
      <c r="D166" s="5"/>
      <c r="E166" s="5"/>
      <c r="F166" s="5"/>
      <c r="G166" s="5"/>
      <c r="H166" s="5"/>
      <c r="I166" s="133"/>
    </row>
    <row r="167" spans="1:11" x14ac:dyDescent="0.2">
      <c r="A167" s="5" t="s">
        <v>99</v>
      </c>
      <c r="B167" s="5"/>
      <c r="C167" s="5"/>
      <c r="D167" s="5"/>
      <c r="E167" s="5"/>
      <c r="F167" s="5"/>
      <c r="G167" s="5"/>
      <c r="H167" s="5"/>
      <c r="I167" s="133"/>
    </row>
    <row r="168" spans="1:11" s="161" customFormat="1" ht="29.25" customHeight="1" x14ac:dyDescent="0.25">
      <c r="A168" s="32"/>
      <c r="B168" s="276" t="s">
        <v>100</v>
      </c>
      <c r="C168" s="277"/>
      <c r="D168" s="119" t="s">
        <v>184</v>
      </c>
      <c r="E168" s="119" t="s">
        <v>185</v>
      </c>
      <c r="F168" s="119" t="s">
        <v>158</v>
      </c>
      <c r="G168" s="120"/>
    </row>
    <row r="169" spans="1:11" ht="24" customHeight="1" x14ac:dyDescent="0.2">
      <c r="A169" s="125" t="s">
        <v>4</v>
      </c>
      <c r="B169" s="295" t="s">
        <v>101</v>
      </c>
      <c r="C169" s="295"/>
      <c r="D169" s="57">
        <f>E39</f>
        <v>0</v>
      </c>
      <c r="E169" s="57">
        <f>E39</f>
        <v>0</v>
      </c>
      <c r="F169" s="61">
        <f>E39</f>
        <v>0</v>
      </c>
      <c r="G169" s="83"/>
    </row>
    <row r="170" spans="1:11" ht="26.25" customHeight="1" x14ac:dyDescent="0.2">
      <c r="A170" s="125" t="s">
        <v>6</v>
      </c>
      <c r="B170" s="295" t="s">
        <v>102</v>
      </c>
      <c r="C170" s="295"/>
      <c r="D170" s="57" t="e">
        <f>E84</f>
        <v>#DIV/0!</v>
      </c>
      <c r="E170" s="57" t="e">
        <f>E84</f>
        <v>#DIV/0!</v>
      </c>
      <c r="F170" s="61" t="e">
        <f>F84</f>
        <v>#DIV/0!</v>
      </c>
      <c r="G170" s="83"/>
    </row>
    <row r="171" spans="1:11" x14ac:dyDescent="0.2">
      <c r="A171" s="125" t="s">
        <v>8</v>
      </c>
      <c r="B171" s="295" t="s">
        <v>103</v>
      </c>
      <c r="C171" s="295"/>
      <c r="D171" s="57" t="e">
        <f>E98</f>
        <v>#DIV/0!</v>
      </c>
      <c r="E171" s="57" t="e">
        <f>E98</f>
        <v>#DIV/0!</v>
      </c>
      <c r="F171" s="61" t="e">
        <f>F98</f>
        <v>#DIV/0!</v>
      </c>
      <c r="G171" s="83"/>
    </row>
    <row r="172" spans="1:11" ht="26.25" customHeight="1" x14ac:dyDescent="0.2">
      <c r="A172" s="125" t="s">
        <v>10</v>
      </c>
      <c r="B172" s="295" t="s">
        <v>104</v>
      </c>
      <c r="C172" s="295"/>
      <c r="D172" s="57" t="e">
        <f>E136</f>
        <v>#DIV/0!</v>
      </c>
      <c r="E172" s="57" t="e">
        <f>E136</f>
        <v>#DIV/0!</v>
      </c>
      <c r="F172" s="61" t="e">
        <f>F136</f>
        <v>#DIV/0!</v>
      </c>
      <c r="G172" s="83"/>
      <c r="H172" s="162"/>
    </row>
    <row r="173" spans="1:11" x14ac:dyDescent="0.2">
      <c r="A173" s="125" t="s">
        <v>34</v>
      </c>
      <c r="B173" s="295" t="s">
        <v>105</v>
      </c>
      <c r="C173" s="295"/>
      <c r="D173" s="57" t="e">
        <f>D145</f>
        <v>#DIV/0!</v>
      </c>
      <c r="E173" s="57" t="e">
        <f>D145</f>
        <v>#DIV/0!</v>
      </c>
      <c r="F173" s="61" t="e">
        <f>D145</f>
        <v>#DIV/0!</v>
      </c>
      <c r="G173" s="83"/>
    </row>
    <row r="174" spans="1:11" ht="15" customHeight="1" x14ac:dyDescent="0.2">
      <c r="A174" s="281" t="s">
        <v>106</v>
      </c>
      <c r="B174" s="281"/>
      <c r="C174" s="281"/>
      <c r="D174" s="57" t="e">
        <f>SUM(D169:D173)</f>
        <v>#DIV/0!</v>
      </c>
      <c r="E174" s="57" t="e">
        <f>SUM(E169:E173)</f>
        <v>#DIV/0!</v>
      </c>
      <c r="F174" s="57" t="e">
        <f>SUM(F169:F173)</f>
        <v>#DIV/0!</v>
      </c>
      <c r="G174" s="84"/>
    </row>
    <row r="175" spans="1:11" ht="26.25" customHeight="1" x14ac:dyDescent="0.2">
      <c r="A175" s="125" t="s">
        <v>36</v>
      </c>
      <c r="B175" s="295" t="s">
        <v>107</v>
      </c>
      <c r="C175" s="295"/>
      <c r="D175" s="57" t="e">
        <f>E163</f>
        <v>#DIV/0!</v>
      </c>
      <c r="E175" s="57" t="e">
        <f>G163</f>
        <v>#DIV/0!</v>
      </c>
      <c r="F175" s="61" t="e">
        <f>I163</f>
        <v>#DIV/0!</v>
      </c>
      <c r="G175" s="83"/>
    </row>
    <row r="176" spans="1:11" ht="17.25" customHeight="1" x14ac:dyDescent="0.2">
      <c r="A176" s="312" t="s">
        <v>108</v>
      </c>
      <c r="B176" s="313"/>
      <c r="C176" s="313"/>
      <c r="D176" s="58" t="e">
        <f>D174+D175</f>
        <v>#DIV/0!</v>
      </c>
      <c r="E176" s="58" t="e">
        <f>E174+E175</f>
        <v>#DIV/0!</v>
      </c>
      <c r="F176" s="58" t="e">
        <f>F174+F175</f>
        <v>#DIV/0!</v>
      </c>
      <c r="G176" s="112"/>
      <c r="H176" s="163"/>
    </row>
    <row r="177" spans="1:10" hidden="1" x14ac:dyDescent="0.2">
      <c r="A177" s="3"/>
      <c r="B177" s="3"/>
      <c r="C177" s="3">
        <v>0</v>
      </c>
      <c r="D177" s="60" t="e">
        <f>D176-E156</f>
        <v>#DIV/0!</v>
      </c>
      <c r="E177" s="59" t="e">
        <f>E176-G156</f>
        <v>#DIV/0!</v>
      </c>
      <c r="F177" s="59" t="e">
        <f>F176-I156</f>
        <v>#DIV/0!</v>
      </c>
      <c r="G177" s="85"/>
    </row>
    <row r="178" spans="1:10" x14ac:dyDescent="0.2">
      <c r="A178" s="3"/>
      <c r="B178" s="3"/>
      <c r="C178" s="3"/>
      <c r="D178" s="109" t="e">
        <f>IF(D177=$C$177,"Ok","Erro")</f>
        <v>#DIV/0!</v>
      </c>
      <c r="E178" s="109" t="e">
        <f>IF(E177=$C$177,"Ok","Erro")</f>
        <v>#DIV/0!</v>
      </c>
      <c r="F178" s="109" t="e">
        <f>IF(F177=$C$177,"Ok","Erro")</f>
        <v>#DIV/0!</v>
      </c>
      <c r="G178" s="86"/>
    </row>
    <row r="179" spans="1:10" x14ac:dyDescent="0.2">
      <c r="A179" s="5" t="s">
        <v>109</v>
      </c>
      <c r="B179" s="5"/>
      <c r="C179" s="5"/>
      <c r="D179" s="5"/>
      <c r="E179" s="5"/>
      <c r="F179" s="5"/>
      <c r="G179" s="5"/>
      <c r="H179" s="5"/>
      <c r="I179" s="133"/>
      <c r="J179" s="5"/>
    </row>
    <row r="180" spans="1:10" x14ac:dyDescent="0.2">
      <c r="A180" s="5" t="s">
        <v>110</v>
      </c>
      <c r="B180" s="5"/>
      <c r="C180" s="5"/>
      <c r="D180" s="5"/>
      <c r="E180" s="5"/>
      <c r="F180" s="5"/>
      <c r="G180" s="5"/>
      <c r="H180" s="5"/>
      <c r="I180" s="133"/>
      <c r="J180" s="5"/>
    </row>
    <row r="181" spans="1:10" x14ac:dyDescent="0.2">
      <c r="A181" s="5"/>
      <c r="B181" s="5"/>
      <c r="C181" s="5"/>
      <c r="D181" s="5"/>
      <c r="E181" s="5"/>
      <c r="F181" s="5"/>
      <c r="G181" s="5"/>
      <c r="H181" s="5"/>
      <c r="I181" s="133"/>
      <c r="J181" s="5"/>
    </row>
    <row r="182" spans="1:10" x14ac:dyDescent="0.2">
      <c r="A182" s="5" t="s">
        <v>319</v>
      </c>
      <c r="B182" s="5"/>
      <c r="C182" s="5"/>
      <c r="D182" s="5"/>
      <c r="E182" s="5"/>
      <c r="F182" s="5"/>
      <c r="G182" s="5"/>
      <c r="H182" s="5"/>
      <c r="I182" s="133"/>
      <c r="J182" s="5"/>
    </row>
    <row r="183" spans="1:10" ht="25.5" customHeight="1" x14ac:dyDescent="0.2">
      <c r="A183" s="5"/>
      <c r="B183" s="5"/>
      <c r="C183" s="296" t="s">
        <v>184</v>
      </c>
      <c r="D183" s="296"/>
      <c r="E183" s="296" t="s">
        <v>185</v>
      </c>
      <c r="F183" s="296"/>
      <c r="G183" s="296" t="s">
        <v>158</v>
      </c>
      <c r="H183" s="296"/>
      <c r="I183" s="133"/>
      <c r="J183" s="5"/>
    </row>
    <row r="184" spans="1:10" ht="38.25" x14ac:dyDescent="0.2">
      <c r="A184" s="119" t="s">
        <v>111</v>
      </c>
      <c r="B184" s="126" t="s">
        <v>138</v>
      </c>
      <c r="C184" s="119" t="s">
        <v>202</v>
      </c>
      <c r="D184" s="119" t="s">
        <v>154</v>
      </c>
      <c r="E184" s="119" t="s">
        <v>202</v>
      </c>
      <c r="F184" s="119" t="s">
        <v>154</v>
      </c>
      <c r="G184" s="119" t="s">
        <v>202</v>
      </c>
      <c r="H184" s="119" t="s">
        <v>154</v>
      </c>
    </row>
    <row r="185" spans="1:10" x14ac:dyDescent="0.2">
      <c r="A185" s="10" t="s">
        <v>112</v>
      </c>
      <c r="B185" s="131">
        <f>Produtividade!B3</f>
        <v>800</v>
      </c>
      <c r="C185" s="66" t="e">
        <f>$D$176</f>
        <v>#DIV/0!</v>
      </c>
      <c r="D185" s="66" t="e">
        <f>C185/$B185</f>
        <v>#DIV/0!</v>
      </c>
      <c r="E185" s="65" t="e">
        <f>$E$176</f>
        <v>#DIV/0!</v>
      </c>
      <c r="F185" s="65" t="e">
        <f>E185/$B185</f>
        <v>#DIV/0!</v>
      </c>
      <c r="G185" s="65" t="e">
        <f>$F$176</f>
        <v>#DIV/0!</v>
      </c>
      <c r="H185" s="65" t="e">
        <f>G185/$B185</f>
        <v>#DIV/0!</v>
      </c>
    </row>
    <row r="186" spans="1:10" x14ac:dyDescent="0.2">
      <c r="A186" s="63" t="s">
        <v>113</v>
      </c>
      <c r="B186" s="64"/>
      <c r="C186" s="63"/>
      <c r="D186" s="67" t="e">
        <f>D185</f>
        <v>#DIV/0!</v>
      </c>
      <c r="E186" s="63"/>
      <c r="F186" s="67" t="e">
        <f>F185</f>
        <v>#DIV/0!</v>
      </c>
      <c r="G186" s="63"/>
      <c r="H186" s="67" t="e">
        <f>H185</f>
        <v>#DIV/0!</v>
      </c>
    </row>
    <row r="187" spans="1:10" x14ac:dyDescent="0.2">
      <c r="A187" s="2"/>
      <c r="E187" s="137"/>
      <c r="F187" s="137"/>
      <c r="G187" s="137"/>
    </row>
    <row r="188" spans="1:10" x14ac:dyDescent="0.2">
      <c r="A188" s="5" t="s">
        <v>320</v>
      </c>
      <c r="B188" s="5"/>
      <c r="C188" s="133"/>
      <c r="D188" s="5"/>
      <c r="E188" s="164"/>
      <c r="F188" s="164"/>
      <c r="G188" s="164"/>
    </row>
    <row r="189" spans="1:10" x14ac:dyDescent="0.2">
      <c r="A189" s="5"/>
      <c r="B189" s="5"/>
      <c r="C189" s="296" t="s">
        <v>184</v>
      </c>
      <c r="D189" s="296"/>
      <c r="E189" s="296" t="s">
        <v>185</v>
      </c>
      <c r="F189" s="296"/>
      <c r="G189" s="296" t="s">
        <v>158</v>
      </c>
      <c r="H189" s="296"/>
    </row>
    <row r="190" spans="1:10" ht="38.25" x14ac:dyDescent="0.2">
      <c r="A190" s="119" t="s">
        <v>111</v>
      </c>
      <c r="B190" s="119" t="s">
        <v>138</v>
      </c>
      <c r="C190" s="119" t="s">
        <v>202</v>
      </c>
      <c r="D190" s="119" t="s">
        <v>154</v>
      </c>
      <c r="E190" s="119" t="s">
        <v>202</v>
      </c>
      <c r="F190" s="119" t="s">
        <v>154</v>
      </c>
      <c r="G190" s="119" t="s">
        <v>202</v>
      </c>
      <c r="H190" s="119" t="s">
        <v>154</v>
      </c>
    </row>
    <row r="191" spans="1:10" x14ac:dyDescent="0.2">
      <c r="A191" s="10" t="s">
        <v>112</v>
      </c>
      <c r="B191" s="131">
        <f>Produtividade!B4</f>
        <v>1000</v>
      </c>
      <c r="C191" s="65" t="e">
        <f>$D$176</f>
        <v>#DIV/0!</v>
      </c>
      <c r="D191" s="65" t="e">
        <f>C191/$B191</f>
        <v>#DIV/0!</v>
      </c>
      <c r="E191" s="65" t="e">
        <f>$E$176</f>
        <v>#DIV/0!</v>
      </c>
      <c r="F191" s="65" t="e">
        <f>E191/$B191</f>
        <v>#DIV/0!</v>
      </c>
      <c r="G191" s="65" t="e">
        <f>$F$176</f>
        <v>#DIV/0!</v>
      </c>
      <c r="H191" s="65" t="e">
        <f>G191/$B191</f>
        <v>#DIV/0!</v>
      </c>
    </row>
    <row r="192" spans="1:10" x14ac:dyDescent="0.2">
      <c r="A192" s="63" t="s">
        <v>113</v>
      </c>
      <c r="B192" s="64"/>
      <c r="C192" s="63"/>
      <c r="D192" s="67" t="e">
        <f>D191</f>
        <v>#DIV/0!</v>
      </c>
      <c r="E192" s="63"/>
      <c r="F192" s="67" t="e">
        <f>F191</f>
        <v>#DIV/0!</v>
      </c>
      <c r="G192" s="63"/>
      <c r="H192" s="67" t="e">
        <f>H191</f>
        <v>#DIV/0!</v>
      </c>
    </row>
    <row r="193" spans="1:10" x14ac:dyDescent="0.2">
      <c r="A193" s="2"/>
      <c r="E193" s="137"/>
      <c r="F193" s="137"/>
      <c r="G193" s="137"/>
    </row>
    <row r="194" spans="1:10" x14ac:dyDescent="0.2">
      <c r="A194" s="5" t="s">
        <v>321</v>
      </c>
      <c r="B194" s="5"/>
      <c r="C194" s="133"/>
      <c r="D194" s="5"/>
      <c r="E194" s="164"/>
      <c r="F194" s="164"/>
      <c r="G194" s="164"/>
    </row>
    <row r="195" spans="1:10" x14ac:dyDescent="0.2">
      <c r="A195" s="5"/>
      <c r="B195" s="5"/>
      <c r="C195" s="296" t="s">
        <v>184</v>
      </c>
      <c r="D195" s="296"/>
      <c r="E195" s="296" t="s">
        <v>185</v>
      </c>
      <c r="F195" s="296"/>
      <c r="G195" s="296" t="s">
        <v>158</v>
      </c>
      <c r="H195" s="296"/>
    </row>
    <row r="196" spans="1:10" ht="38.25" x14ac:dyDescent="0.2">
      <c r="A196" s="119" t="s">
        <v>111</v>
      </c>
      <c r="B196" s="119" t="s">
        <v>138</v>
      </c>
      <c r="C196" s="119" t="s">
        <v>202</v>
      </c>
      <c r="D196" s="119" t="s">
        <v>154</v>
      </c>
      <c r="E196" s="119" t="s">
        <v>202</v>
      </c>
      <c r="F196" s="119" t="s">
        <v>154</v>
      </c>
      <c r="G196" s="119" t="s">
        <v>202</v>
      </c>
      <c r="H196" s="119" t="s">
        <v>154</v>
      </c>
    </row>
    <row r="197" spans="1:10" x14ac:dyDescent="0.2">
      <c r="A197" s="10" t="s">
        <v>112</v>
      </c>
      <c r="B197" s="131">
        <f>Produtividade!B5</f>
        <v>360</v>
      </c>
      <c r="C197" s="65" t="e">
        <f>$D$176</f>
        <v>#DIV/0!</v>
      </c>
      <c r="D197" s="65" t="e">
        <f>C197/$B197</f>
        <v>#DIV/0!</v>
      </c>
      <c r="E197" s="65" t="e">
        <f>$E$176</f>
        <v>#DIV/0!</v>
      </c>
      <c r="F197" s="65" t="e">
        <f>E197/$B197</f>
        <v>#DIV/0!</v>
      </c>
      <c r="G197" s="65" t="e">
        <f>$F$176</f>
        <v>#DIV/0!</v>
      </c>
      <c r="H197" s="65" t="e">
        <f>G197/$B197</f>
        <v>#DIV/0!</v>
      </c>
    </row>
    <row r="198" spans="1:10" x14ac:dyDescent="0.2">
      <c r="A198" s="63" t="s">
        <v>113</v>
      </c>
      <c r="B198" s="64"/>
      <c r="C198" s="63"/>
      <c r="D198" s="67" t="e">
        <f>D197</f>
        <v>#DIV/0!</v>
      </c>
      <c r="E198" s="63"/>
      <c r="F198" s="67" t="e">
        <f>F197</f>
        <v>#DIV/0!</v>
      </c>
      <c r="G198" s="63"/>
      <c r="H198" s="67" t="e">
        <f>H197</f>
        <v>#DIV/0!</v>
      </c>
    </row>
    <row r="199" spans="1:10" x14ac:dyDescent="0.2">
      <c r="A199" s="2"/>
      <c r="B199" s="2"/>
      <c r="C199" s="2"/>
      <c r="E199" s="17"/>
      <c r="F199" s="17"/>
      <c r="G199" s="17"/>
    </row>
    <row r="200" spans="1:10" x14ac:dyDescent="0.2">
      <c r="A200" s="5" t="s">
        <v>322</v>
      </c>
      <c r="B200" s="5"/>
      <c r="C200" s="5"/>
      <c r="D200" s="5"/>
      <c r="E200" s="18"/>
      <c r="F200" s="18"/>
      <c r="G200" s="18"/>
      <c r="I200" s="133"/>
      <c r="J200" s="5"/>
    </row>
    <row r="201" spans="1:10" x14ac:dyDescent="0.2">
      <c r="A201" s="5"/>
      <c r="B201" s="5"/>
      <c r="C201" s="296" t="s">
        <v>184</v>
      </c>
      <c r="D201" s="296"/>
      <c r="E201" s="296" t="s">
        <v>185</v>
      </c>
      <c r="F201" s="296"/>
      <c r="G201" s="296" t="s">
        <v>158</v>
      </c>
      <c r="H201" s="296"/>
      <c r="I201" s="133"/>
      <c r="J201" s="5"/>
    </row>
    <row r="202" spans="1:10" ht="38.25" x14ac:dyDescent="0.2">
      <c r="A202" s="119" t="s">
        <v>111</v>
      </c>
      <c r="B202" s="119" t="s">
        <v>138</v>
      </c>
      <c r="C202" s="119" t="s">
        <v>202</v>
      </c>
      <c r="D202" s="119" t="s">
        <v>154</v>
      </c>
      <c r="E202" s="119" t="s">
        <v>202</v>
      </c>
      <c r="F202" s="119" t="s">
        <v>154</v>
      </c>
      <c r="G202" s="119" t="s">
        <v>202</v>
      </c>
      <c r="H202" s="119" t="s">
        <v>154</v>
      </c>
    </row>
    <row r="203" spans="1:10" x14ac:dyDescent="0.2">
      <c r="A203" s="10" t="s">
        <v>112</v>
      </c>
      <c r="B203" s="131">
        <f>Produtividade!B6</f>
        <v>2000</v>
      </c>
      <c r="C203" s="65" t="e">
        <f>$D$176</f>
        <v>#DIV/0!</v>
      </c>
      <c r="D203" s="65" t="e">
        <f>C203/$B203</f>
        <v>#DIV/0!</v>
      </c>
      <c r="E203" s="65" t="e">
        <f>$E$176</f>
        <v>#DIV/0!</v>
      </c>
      <c r="F203" s="65" t="e">
        <f>E203/$B203</f>
        <v>#DIV/0!</v>
      </c>
      <c r="G203" s="65" t="e">
        <f>$F$176</f>
        <v>#DIV/0!</v>
      </c>
      <c r="H203" s="65" t="e">
        <f>G203/$B203</f>
        <v>#DIV/0!</v>
      </c>
    </row>
    <row r="204" spans="1:10" x14ac:dyDescent="0.2">
      <c r="A204" s="63" t="s">
        <v>113</v>
      </c>
      <c r="B204" s="64"/>
      <c r="C204" s="63"/>
      <c r="D204" s="67" t="e">
        <f>D203</f>
        <v>#DIV/0!</v>
      </c>
      <c r="E204" s="63"/>
      <c r="F204" s="67" t="e">
        <f>F203</f>
        <v>#DIV/0!</v>
      </c>
      <c r="G204" s="63"/>
      <c r="H204" s="67" t="e">
        <f>H203</f>
        <v>#DIV/0!</v>
      </c>
    </row>
    <row r="206" spans="1:10" x14ac:dyDescent="0.2">
      <c r="A206" s="5" t="s">
        <v>323</v>
      </c>
      <c r="B206" s="5"/>
      <c r="C206" s="5"/>
      <c r="D206" s="5"/>
      <c r="E206" s="18"/>
      <c r="F206" s="18"/>
      <c r="G206" s="18"/>
    </row>
    <row r="207" spans="1:10" x14ac:dyDescent="0.2">
      <c r="A207" s="5"/>
      <c r="B207" s="5"/>
      <c r="C207" s="296" t="s">
        <v>184</v>
      </c>
      <c r="D207" s="296"/>
      <c r="E207" s="296" t="s">
        <v>185</v>
      </c>
      <c r="F207" s="296"/>
      <c r="G207" s="296" t="s">
        <v>158</v>
      </c>
      <c r="H207" s="296"/>
    </row>
    <row r="208" spans="1:10" ht="38.25" x14ac:dyDescent="0.2">
      <c r="A208" s="188" t="s">
        <v>111</v>
      </c>
      <c r="B208" s="188" t="s">
        <v>138</v>
      </c>
      <c r="C208" s="188" t="s">
        <v>202</v>
      </c>
      <c r="D208" s="188" t="s">
        <v>154</v>
      </c>
      <c r="E208" s="188" t="s">
        <v>202</v>
      </c>
      <c r="F208" s="188" t="s">
        <v>154</v>
      </c>
      <c r="G208" s="188" t="s">
        <v>202</v>
      </c>
      <c r="H208" s="188" t="s">
        <v>154</v>
      </c>
    </row>
    <row r="209" spans="1:8" x14ac:dyDescent="0.2">
      <c r="A209" s="10" t="s">
        <v>112</v>
      </c>
      <c r="B209" s="131">
        <f>Produtividade!B7</f>
        <v>1500</v>
      </c>
      <c r="C209" s="65" t="e">
        <f>$D$176</f>
        <v>#DIV/0!</v>
      </c>
      <c r="D209" s="65" t="e">
        <f>C209/$B209</f>
        <v>#DIV/0!</v>
      </c>
      <c r="E209" s="65" t="e">
        <f>$E$176</f>
        <v>#DIV/0!</v>
      </c>
      <c r="F209" s="65" t="e">
        <f>E209/$B209</f>
        <v>#DIV/0!</v>
      </c>
      <c r="G209" s="65" t="e">
        <f>$F$176</f>
        <v>#DIV/0!</v>
      </c>
      <c r="H209" s="65" t="e">
        <f>G209/$B209</f>
        <v>#DIV/0!</v>
      </c>
    </row>
    <row r="210" spans="1:8" x14ac:dyDescent="0.2">
      <c r="A210" s="63" t="s">
        <v>113</v>
      </c>
      <c r="B210" s="64"/>
      <c r="C210" s="63"/>
      <c r="D210" s="67" t="e">
        <f>D209</f>
        <v>#DIV/0!</v>
      </c>
      <c r="E210" s="63"/>
      <c r="F210" s="67" t="e">
        <f>F209</f>
        <v>#DIV/0!</v>
      </c>
      <c r="G210" s="63"/>
      <c r="H210" s="67" t="e">
        <f>H209</f>
        <v>#DIV/0!</v>
      </c>
    </row>
    <row r="212" spans="1:8" x14ac:dyDescent="0.2">
      <c r="A212" s="5" t="s">
        <v>324</v>
      </c>
      <c r="B212" s="5"/>
      <c r="C212" s="5"/>
      <c r="D212" s="5"/>
      <c r="E212" s="18"/>
      <c r="F212" s="18"/>
      <c r="G212" s="18"/>
    </row>
    <row r="213" spans="1:8" x14ac:dyDescent="0.2">
      <c r="A213" s="5"/>
      <c r="B213" s="5"/>
      <c r="C213" s="296" t="s">
        <v>184</v>
      </c>
      <c r="D213" s="296"/>
      <c r="E213" s="296" t="s">
        <v>185</v>
      </c>
      <c r="F213" s="296"/>
      <c r="G213" s="296" t="s">
        <v>158</v>
      </c>
      <c r="H213" s="296"/>
    </row>
    <row r="214" spans="1:8" ht="38.25" x14ac:dyDescent="0.2">
      <c r="A214" s="188" t="s">
        <v>111</v>
      </c>
      <c r="B214" s="188" t="s">
        <v>138</v>
      </c>
      <c r="C214" s="188" t="s">
        <v>202</v>
      </c>
      <c r="D214" s="188" t="s">
        <v>154</v>
      </c>
      <c r="E214" s="188" t="s">
        <v>202</v>
      </c>
      <c r="F214" s="188" t="s">
        <v>154</v>
      </c>
      <c r="G214" s="188" t="s">
        <v>202</v>
      </c>
      <c r="H214" s="188" t="s">
        <v>154</v>
      </c>
    </row>
    <row r="215" spans="1:8" x14ac:dyDescent="0.2">
      <c r="A215" s="10" t="s">
        <v>112</v>
      </c>
      <c r="B215" s="131">
        <f>Produtividade!B8</f>
        <v>200</v>
      </c>
      <c r="C215" s="65" t="e">
        <f>$D$176</f>
        <v>#DIV/0!</v>
      </c>
      <c r="D215" s="65" t="e">
        <f>C215/$B215</f>
        <v>#DIV/0!</v>
      </c>
      <c r="E215" s="65" t="e">
        <f>$E$176</f>
        <v>#DIV/0!</v>
      </c>
      <c r="F215" s="65" t="e">
        <f>E215/$B215</f>
        <v>#DIV/0!</v>
      </c>
      <c r="G215" s="65" t="e">
        <f>$F$176</f>
        <v>#DIV/0!</v>
      </c>
      <c r="H215" s="65" t="e">
        <f>G215/$B215</f>
        <v>#DIV/0!</v>
      </c>
    </row>
    <row r="216" spans="1:8" x14ac:dyDescent="0.2">
      <c r="A216" s="63" t="s">
        <v>113</v>
      </c>
      <c r="B216" s="64"/>
      <c r="C216" s="63"/>
      <c r="D216" s="67" t="e">
        <f>D215</f>
        <v>#DIV/0!</v>
      </c>
      <c r="E216" s="63"/>
      <c r="F216" s="67" t="e">
        <f>F215</f>
        <v>#DIV/0!</v>
      </c>
      <c r="G216" s="63"/>
      <c r="H216" s="67" t="e">
        <f>H215</f>
        <v>#DIV/0!</v>
      </c>
    </row>
    <row r="218" spans="1:8" x14ac:dyDescent="0.2">
      <c r="A218" s="5" t="s">
        <v>325</v>
      </c>
      <c r="B218" s="5"/>
      <c r="C218" s="5"/>
      <c r="D218" s="5"/>
      <c r="E218" s="18"/>
      <c r="F218" s="18"/>
      <c r="G218" s="18"/>
    </row>
    <row r="219" spans="1:8" x14ac:dyDescent="0.2">
      <c r="A219" s="5"/>
      <c r="B219" s="5"/>
      <c r="C219" s="296" t="s">
        <v>184</v>
      </c>
      <c r="D219" s="296"/>
      <c r="E219" s="296" t="s">
        <v>185</v>
      </c>
      <c r="F219" s="296"/>
      <c r="G219" s="296" t="s">
        <v>158</v>
      </c>
      <c r="H219" s="296"/>
    </row>
    <row r="220" spans="1:8" ht="38.25" x14ac:dyDescent="0.2">
      <c r="A220" s="188" t="s">
        <v>111</v>
      </c>
      <c r="B220" s="188" t="s">
        <v>138</v>
      </c>
      <c r="C220" s="188" t="s">
        <v>202</v>
      </c>
      <c r="D220" s="188" t="s">
        <v>154</v>
      </c>
      <c r="E220" s="188" t="s">
        <v>202</v>
      </c>
      <c r="F220" s="188" t="s">
        <v>154</v>
      </c>
      <c r="G220" s="188" t="s">
        <v>202</v>
      </c>
      <c r="H220" s="188" t="s">
        <v>154</v>
      </c>
    </row>
    <row r="221" spans="1:8" x14ac:dyDescent="0.2">
      <c r="A221" s="10" t="s">
        <v>112</v>
      </c>
      <c r="B221" s="131">
        <f>Produtividade!B9</f>
        <v>2250</v>
      </c>
      <c r="C221" s="65" t="e">
        <f>$D$176</f>
        <v>#DIV/0!</v>
      </c>
      <c r="D221" s="65" t="e">
        <f>C221/$B221</f>
        <v>#DIV/0!</v>
      </c>
      <c r="E221" s="65" t="e">
        <f>$E$176</f>
        <v>#DIV/0!</v>
      </c>
      <c r="F221" s="65" t="e">
        <f>E221/$B221</f>
        <v>#DIV/0!</v>
      </c>
      <c r="G221" s="65" t="e">
        <f>$F$176</f>
        <v>#DIV/0!</v>
      </c>
      <c r="H221" s="65" t="e">
        <f>G221/$B221</f>
        <v>#DIV/0!</v>
      </c>
    </row>
    <row r="222" spans="1:8" x14ac:dyDescent="0.2">
      <c r="A222" s="63" t="s">
        <v>113</v>
      </c>
      <c r="B222" s="64"/>
      <c r="C222" s="63"/>
      <c r="D222" s="67" t="e">
        <f>D221</f>
        <v>#DIV/0!</v>
      </c>
      <c r="E222" s="63"/>
      <c r="F222" s="67" t="e">
        <f>F221</f>
        <v>#DIV/0!</v>
      </c>
      <c r="G222" s="63"/>
      <c r="H222" s="67" t="e">
        <f>H221</f>
        <v>#DIV/0!</v>
      </c>
    </row>
    <row r="224" spans="1:8" x14ac:dyDescent="0.2">
      <c r="A224" s="5" t="s">
        <v>326</v>
      </c>
      <c r="B224" s="5"/>
      <c r="C224" s="5"/>
      <c r="D224" s="5"/>
      <c r="E224" s="18"/>
      <c r="F224" s="18"/>
      <c r="G224" s="18"/>
    </row>
    <row r="225" spans="1:11" x14ac:dyDescent="0.2">
      <c r="A225" s="5"/>
      <c r="B225" s="5"/>
      <c r="C225" s="296" t="s">
        <v>184</v>
      </c>
      <c r="D225" s="296"/>
      <c r="E225" s="296" t="s">
        <v>185</v>
      </c>
      <c r="F225" s="296"/>
      <c r="G225" s="296" t="s">
        <v>158</v>
      </c>
      <c r="H225" s="296"/>
    </row>
    <row r="226" spans="1:11" ht="38.25" x14ac:dyDescent="0.2">
      <c r="A226" s="188" t="s">
        <v>111</v>
      </c>
      <c r="B226" s="188" t="s">
        <v>138</v>
      </c>
      <c r="C226" s="188" t="s">
        <v>202</v>
      </c>
      <c r="D226" s="188" t="s">
        <v>154</v>
      </c>
      <c r="E226" s="188" t="s">
        <v>202</v>
      </c>
      <c r="F226" s="188" t="s">
        <v>154</v>
      </c>
      <c r="G226" s="188" t="s">
        <v>202</v>
      </c>
      <c r="H226" s="188" t="s">
        <v>154</v>
      </c>
    </row>
    <row r="227" spans="1:11" x14ac:dyDescent="0.2">
      <c r="A227" s="10" t="s">
        <v>112</v>
      </c>
      <c r="B227" s="131">
        <f>Produtividade!B10</f>
        <v>7500</v>
      </c>
      <c r="C227" s="65" t="e">
        <f>$D$176</f>
        <v>#DIV/0!</v>
      </c>
      <c r="D227" s="65" t="e">
        <f>C227/$B227</f>
        <v>#DIV/0!</v>
      </c>
      <c r="E227" s="65" t="e">
        <f>$E$176</f>
        <v>#DIV/0!</v>
      </c>
      <c r="F227" s="65" t="e">
        <f>E227/$B227</f>
        <v>#DIV/0!</v>
      </c>
      <c r="G227" s="65" t="e">
        <f>$F$176</f>
        <v>#DIV/0!</v>
      </c>
      <c r="H227" s="65" t="e">
        <f>G227/$B227</f>
        <v>#DIV/0!</v>
      </c>
    </row>
    <row r="228" spans="1:11" x14ac:dyDescent="0.2">
      <c r="A228" s="63" t="s">
        <v>113</v>
      </c>
      <c r="B228" s="64"/>
      <c r="C228" s="63"/>
      <c r="D228" s="67" t="e">
        <f>D227</f>
        <v>#DIV/0!</v>
      </c>
      <c r="E228" s="63"/>
      <c r="F228" s="67" t="e">
        <f>F227</f>
        <v>#DIV/0!</v>
      </c>
      <c r="G228" s="63"/>
      <c r="H228" s="67" t="e">
        <f>H227</f>
        <v>#DIV/0!</v>
      </c>
    </row>
    <row r="230" spans="1:11" x14ac:dyDescent="0.2">
      <c r="A230" s="6" t="s">
        <v>327</v>
      </c>
      <c r="B230" s="6"/>
      <c r="C230" s="6"/>
      <c r="D230" s="6"/>
      <c r="E230" s="6"/>
      <c r="F230" s="6"/>
      <c r="G230" s="6"/>
    </row>
    <row r="231" spans="1:11" ht="12.75" customHeight="1" x14ac:dyDescent="0.2">
      <c r="A231" s="6"/>
      <c r="B231" s="6"/>
      <c r="C231" s="6"/>
      <c r="D231" s="6"/>
      <c r="E231" s="6"/>
      <c r="F231" s="276" t="s">
        <v>184</v>
      </c>
      <c r="G231" s="277"/>
      <c r="H231" s="276" t="s">
        <v>185</v>
      </c>
      <c r="I231" s="277"/>
      <c r="J231" s="276" t="s">
        <v>158</v>
      </c>
      <c r="K231" s="277"/>
    </row>
    <row r="232" spans="1:11" ht="51" x14ac:dyDescent="0.2">
      <c r="A232" s="202" t="s">
        <v>111</v>
      </c>
      <c r="B232" s="13" t="s">
        <v>138</v>
      </c>
      <c r="C232" s="13" t="s">
        <v>137</v>
      </c>
      <c r="D232" s="13" t="s">
        <v>139</v>
      </c>
      <c r="E232" s="13" t="s">
        <v>140</v>
      </c>
      <c r="F232" s="13" t="s">
        <v>203</v>
      </c>
      <c r="G232" s="13" t="s">
        <v>141</v>
      </c>
      <c r="H232" s="13" t="s">
        <v>203</v>
      </c>
      <c r="I232" s="13" t="s">
        <v>141</v>
      </c>
      <c r="J232" s="13" t="s">
        <v>203</v>
      </c>
      <c r="K232" s="13" t="s">
        <v>141</v>
      </c>
    </row>
    <row r="233" spans="1:11" x14ac:dyDescent="0.2">
      <c r="A233" s="10" t="s">
        <v>112</v>
      </c>
      <c r="B233" s="131">
        <f>Produtividade!B11</f>
        <v>145</v>
      </c>
      <c r="C233" s="203">
        <v>16</v>
      </c>
      <c r="D233" s="68">
        <v>188.76</v>
      </c>
      <c r="E233" s="203">
        <f>ROUND((1/B233)*C233*(1/D233),7)</f>
        <v>5.8460000000000001E-4</v>
      </c>
      <c r="F233" s="65" t="e">
        <f>$D$176</f>
        <v>#DIV/0!</v>
      </c>
      <c r="G233" s="65" t="e">
        <f>F233*$E$233</f>
        <v>#DIV/0!</v>
      </c>
      <c r="H233" s="65" t="e">
        <f>$E$176</f>
        <v>#DIV/0!</v>
      </c>
      <c r="I233" s="65" t="e">
        <f>H233*$E$233</f>
        <v>#DIV/0!</v>
      </c>
      <c r="J233" s="65" t="e">
        <f>$F$176</f>
        <v>#DIV/0!</v>
      </c>
      <c r="K233" s="65" t="e">
        <f>J233*$E$233</f>
        <v>#DIV/0!</v>
      </c>
    </row>
    <row r="234" spans="1:11" x14ac:dyDescent="0.2">
      <c r="A234" s="69" t="s">
        <v>113</v>
      </c>
      <c r="B234" s="70"/>
      <c r="C234" s="70"/>
      <c r="D234" s="70"/>
      <c r="E234" s="70"/>
      <c r="F234" s="69"/>
      <c r="G234" s="71" t="e">
        <f>G233</f>
        <v>#DIV/0!</v>
      </c>
      <c r="H234" s="69"/>
      <c r="I234" s="71" t="e">
        <f>I233</f>
        <v>#DIV/0!</v>
      </c>
      <c r="J234" s="69"/>
      <c r="K234" s="71" t="e">
        <f>K233</f>
        <v>#DIV/0!</v>
      </c>
    </row>
    <row r="236" spans="1:11" x14ac:dyDescent="0.2">
      <c r="A236" s="6" t="s">
        <v>328</v>
      </c>
      <c r="B236" s="6"/>
      <c r="C236" s="6"/>
      <c r="D236" s="6"/>
      <c r="E236" s="6"/>
      <c r="F236" s="6"/>
      <c r="G236" s="6"/>
    </row>
    <row r="237" spans="1:11" x14ac:dyDescent="0.2">
      <c r="A237" s="6"/>
      <c r="B237" s="6"/>
      <c r="C237" s="6"/>
      <c r="D237" s="6"/>
      <c r="E237" s="6"/>
      <c r="F237" s="296" t="s">
        <v>184</v>
      </c>
      <c r="G237" s="296"/>
      <c r="H237" s="296" t="s">
        <v>185</v>
      </c>
      <c r="I237" s="296"/>
      <c r="J237" s="296" t="s">
        <v>158</v>
      </c>
      <c r="K237" s="296"/>
    </row>
    <row r="238" spans="1:11" ht="51" x14ac:dyDescent="0.2">
      <c r="A238" s="188" t="s">
        <v>111</v>
      </c>
      <c r="B238" s="13" t="s">
        <v>138</v>
      </c>
      <c r="C238" s="13" t="s">
        <v>137</v>
      </c>
      <c r="D238" s="13" t="s">
        <v>139</v>
      </c>
      <c r="E238" s="13" t="s">
        <v>140</v>
      </c>
      <c r="F238" s="13" t="s">
        <v>203</v>
      </c>
      <c r="G238" s="13" t="s">
        <v>141</v>
      </c>
      <c r="H238" s="13" t="s">
        <v>203</v>
      </c>
      <c r="I238" s="13" t="s">
        <v>141</v>
      </c>
      <c r="J238" s="13" t="s">
        <v>203</v>
      </c>
      <c r="K238" s="13" t="s">
        <v>141</v>
      </c>
    </row>
    <row r="239" spans="1:11" x14ac:dyDescent="0.2">
      <c r="A239" s="10" t="s">
        <v>112</v>
      </c>
      <c r="B239" s="131">
        <f>Produtividade!B12</f>
        <v>340</v>
      </c>
      <c r="C239" s="196">
        <v>8</v>
      </c>
      <c r="D239" s="68">
        <v>188.76</v>
      </c>
      <c r="E239" s="196">
        <f>ROUND((1/B239)*C239*(1/D239),7)</f>
        <v>1.247E-4</v>
      </c>
      <c r="F239" s="65" t="e">
        <f>$D$176</f>
        <v>#DIV/0!</v>
      </c>
      <c r="G239" s="65" t="e">
        <f>F239*$E$239</f>
        <v>#DIV/0!</v>
      </c>
      <c r="H239" s="65" t="e">
        <f>$E$176</f>
        <v>#DIV/0!</v>
      </c>
      <c r="I239" s="65" t="e">
        <f>H239*$E$239</f>
        <v>#DIV/0!</v>
      </c>
      <c r="J239" s="65" t="e">
        <f>$F$176</f>
        <v>#DIV/0!</v>
      </c>
      <c r="K239" s="65" t="e">
        <f>J239*$E$239</f>
        <v>#DIV/0!</v>
      </c>
    </row>
    <row r="240" spans="1:11" x14ac:dyDescent="0.2">
      <c r="A240" s="69" t="s">
        <v>113</v>
      </c>
      <c r="B240" s="70"/>
      <c r="C240" s="70"/>
      <c r="D240" s="70"/>
      <c r="E240" s="70"/>
      <c r="F240" s="69"/>
      <c r="G240" s="71" t="e">
        <f>G239</f>
        <v>#DIV/0!</v>
      </c>
      <c r="H240" s="69"/>
      <c r="I240" s="71" t="e">
        <f>I239</f>
        <v>#DIV/0!</v>
      </c>
      <c r="J240" s="69"/>
      <c r="K240" s="71" t="e">
        <f>K239</f>
        <v>#DIV/0!</v>
      </c>
    </row>
    <row r="241" spans="1:14" x14ac:dyDescent="0.2">
      <c r="A241" s="5"/>
      <c r="B241" s="5"/>
      <c r="C241" s="5"/>
      <c r="D241" s="5"/>
      <c r="E241" s="18"/>
      <c r="F241" s="18"/>
      <c r="G241" s="18"/>
    </row>
    <row r="242" spans="1:14" x14ac:dyDescent="0.2">
      <c r="A242" s="6" t="s">
        <v>329</v>
      </c>
      <c r="B242" s="6"/>
      <c r="C242" s="6"/>
      <c r="D242" s="6"/>
      <c r="E242" s="6"/>
      <c r="F242" s="6"/>
      <c r="G242" s="6"/>
    </row>
    <row r="243" spans="1:14" x14ac:dyDescent="0.2">
      <c r="A243" s="6"/>
      <c r="B243" s="6"/>
      <c r="C243" s="6"/>
      <c r="D243" s="6"/>
      <c r="E243" s="6"/>
      <c r="F243" s="296" t="s">
        <v>184</v>
      </c>
      <c r="G243" s="296"/>
      <c r="H243" s="296" t="s">
        <v>185</v>
      </c>
      <c r="I243" s="296"/>
      <c r="J243" s="296" t="s">
        <v>158</v>
      </c>
      <c r="K243" s="296"/>
    </row>
    <row r="244" spans="1:14" ht="51" x14ac:dyDescent="0.2">
      <c r="A244" s="119" t="s">
        <v>111</v>
      </c>
      <c r="B244" s="13" t="s">
        <v>138</v>
      </c>
      <c r="C244" s="13" t="s">
        <v>137</v>
      </c>
      <c r="D244" s="13" t="s">
        <v>139</v>
      </c>
      <c r="E244" s="13" t="s">
        <v>140</v>
      </c>
      <c r="F244" s="13" t="s">
        <v>203</v>
      </c>
      <c r="G244" s="13" t="s">
        <v>141</v>
      </c>
      <c r="H244" s="13" t="s">
        <v>203</v>
      </c>
      <c r="I244" s="13" t="s">
        <v>141</v>
      </c>
      <c r="J244" s="13" t="s">
        <v>203</v>
      </c>
      <c r="K244" s="13" t="s">
        <v>141</v>
      </c>
    </row>
    <row r="245" spans="1:14" x14ac:dyDescent="0.2">
      <c r="A245" s="10" t="s">
        <v>112</v>
      </c>
      <c r="B245" s="131">
        <f>Produtividade!B13</f>
        <v>340</v>
      </c>
      <c r="C245" s="125">
        <v>8</v>
      </c>
      <c r="D245" s="68">
        <v>188.76</v>
      </c>
      <c r="E245" s="125">
        <f>ROUND((1/B245)*C245*(1/D245),7)</f>
        <v>1.247E-4</v>
      </c>
      <c r="F245" s="65" t="e">
        <f>$D$176</f>
        <v>#DIV/0!</v>
      </c>
      <c r="G245" s="65" t="e">
        <f>F245*$E$245</f>
        <v>#DIV/0!</v>
      </c>
      <c r="H245" s="65" t="e">
        <f>$E$176</f>
        <v>#DIV/0!</v>
      </c>
      <c r="I245" s="65" t="e">
        <f>H245*$E$245</f>
        <v>#DIV/0!</v>
      </c>
      <c r="J245" s="65" t="e">
        <f>$F$176</f>
        <v>#DIV/0!</v>
      </c>
      <c r="K245" s="65" t="e">
        <f>J245*$E$245</f>
        <v>#DIV/0!</v>
      </c>
    </row>
    <row r="246" spans="1:14" x14ac:dyDescent="0.2">
      <c r="A246" s="69" t="s">
        <v>113</v>
      </c>
      <c r="B246" s="70"/>
      <c r="C246" s="70"/>
      <c r="D246" s="70"/>
      <c r="E246" s="70"/>
      <c r="F246" s="69"/>
      <c r="G246" s="71" t="e">
        <f>G245</f>
        <v>#DIV/0!</v>
      </c>
      <c r="H246" s="69"/>
      <c r="I246" s="71" t="e">
        <f>I245</f>
        <v>#DIV/0!</v>
      </c>
      <c r="J246" s="69"/>
      <c r="K246" s="71" t="e">
        <f>K245</f>
        <v>#DIV/0!</v>
      </c>
    </row>
    <row r="248" spans="1:14" x14ac:dyDescent="0.2">
      <c r="A248" s="6" t="s">
        <v>114</v>
      </c>
      <c r="B248" s="6"/>
      <c r="C248" s="6"/>
      <c r="D248" s="6"/>
      <c r="E248" s="6"/>
      <c r="F248" s="6"/>
      <c r="G248" s="6"/>
      <c r="J248" s="6"/>
    </row>
    <row r="249" spans="1:14" x14ac:dyDescent="0.2">
      <c r="A249" s="6"/>
      <c r="B249" s="6"/>
      <c r="C249" s="6"/>
      <c r="D249" s="6"/>
      <c r="E249" s="6"/>
      <c r="F249" s="296" t="s">
        <v>184</v>
      </c>
      <c r="G249" s="296"/>
      <c r="H249" s="296" t="s">
        <v>185</v>
      </c>
      <c r="I249" s="296"/>
      <c r="J249" s="296" t="s">
        <v>158</v>
      </c>
      <c r="K249" s="296"/>
    </row>
    <row r="250" spans="1:14" ht="38.25" x14ac:dyDescent="0.2">
      <c r="A250" s="296" t="s">
        <v>115</v>
      </c>
      <c r="B250" s="296"/>
      <c r="C250" s="296"/>
      <c r="D250" s="296"/>
      <c r="E250" s="119" t="s">
        <v>143</v>
      </c>
      <c r="F250" s="119" t="s">
        <v>142</v>
      </c>
      <c r="G250" s="119" t="s">
        <v>144</v>
      </c>
      <c r="H250" s="119" t="s">
        <v>142</v>
      </c>
      <c r="I250" s="119" t="s">
        <v>144</v>
      </c>
      <c r="J250" s="119" t="s">
        <v>142</v>
      </c>
      <c r="K250" s="119" t="s">
        <v>144</v>
      </c>
      <c r="L250" s="108"/>
      <c r="M250" s="108"/>
      <c r="N250" s="108"/>
    </row>
    <row r="251" spans="1:14" x14ac:dyDescent="0.2">
      <c r="A251" s="295" t="s">
        <v>318</v>
      </c>
      <c r="B251" s="295"/>
      <c r="C251" s="295"/>
      <c r="D251" s="295"/>
      <c r="E251" s="125">
        <v>1988.49</v>
      </c>
      <c r="F251" s="9" t="e">
        <f>D186</f>
        <v>#DIV/0!</v>
      </c>
      <c r="G251" s="9" t="e">
        <f>$E251*F251</f>
        <v>#DIV/0!</v>
      </c>
      <c r="H251" s="9" t="e">
        <f>F186</f>
        <v>#DIV/0!</v>
      </c>
      <c r="I251" s="9" t="e">
        <f>$E251*H251</f>
        <v>#DIV/0!</v>
      </c>
      <c r="J251" s="9" t="e">
        <f>H186</f>
        <v>#DIV/0!</v>
      </c>
      <c r="K251" s="9" t="e">
        <f>$E251*J251</f>
        <v>#DIV/0!</v>
      </c>
      <c r="L251" s="165"/>
      <c r="M251" s="166"/>
      <c r="N251" s="108"/>
    </row>
    <row r="252" spans="1:14" x14ac:dyDescent="0.2">
      <c r="A252" s="295" t="s">
        <v>320</v>
      </c>
      <c r="B252" s="295"/>
      <c r="C252" s="295"/>
      <c r="D252" s="295"/>
      <c r="E252" s="125">
        <v>723.85</v>
      </c>
      <c r="F252" s="9" t="e">
        <f>D192</f>
        <v>#DIV/0!</v>
      </c>
      <c r="G252" s="9" t="e">
        <f t="shared" ref="G252:G261" si="1">$E252*F252</f>
        <v>#DIV/0!</v>
      </c>
      <c r="H252" s="9" t="e">
        <f>F192</f>
        <v>#DIV/0!</v>
      </c>
      <c r="I252" s="9" t="e">
        <f t="shared" ref="I252:I261" si="2">$E252*H252</f>
        <v>#DIV/0!</v>
      </c>
      <c r="J252" s="9" t="e">
        <f>H192</f>
        <v>#DIV/0!</v>
      </c>
      <c r="K252" s="9" t="e">
        <f t="shared" ref="K252:K261" si="3">$E252*J252</f>
        <v>#DIV/0!</v>
      </c>
      <c r="L252" s="165"/>
      <c r="M252" s="166"/>
      <c r="N252" s="108"/>
    </row>
    <row r="253" spans="1:14" x14ac:dyDescent="0.2">
      <c r="A253" s="295" t="s">
        <v>321</v>
      </c>
      <c r="B253" s="295"/>
      <c r="C253" s="295"/>
      <c r="D253" s="295"/>
      <c r="E253" s="48">
        <v>1378.48</v>
      </c>
      <c r="F253" s="49" t="e">
        <f>D198</f>
        <v>#DIV/0!</v>
      </c>
      <c r="G253" s="9" t="e">
        <f t="shared" si="1"/>
        <v>#DIV/0!</v>
      </c>
      <c r="H253" s="49" t="e">
        <f>F198</f>
        <v>#DIV/0!</v>
      </c>
      <c r="I253" s="9" t="e">
        <f t="shared" si="2"/>
        <v>#DIV/0!</v>
      </c>
      <c r="J253" s="49" t="e">
        <f>H198</f>
        <v>#DIV/0!</v>
      </c>
      <c r="K253" s="9" t="e">
        <f t="shared" si="3"/>
        <v>#DIV/0!</v>
      </c>
      <c r="L253" s="165"/>
      <c r="M253" s="166"/>
      <c r="N253" s="108"/>
    </row>
    <row r="254" spans="1:14" x14ac:dyDescent="0.2">
      <c r="A254" s="295" t="s">
        <v>330</v>
      </c>
      <c r="B254" s="295"/>
      <c r="C254" s="295"/>
      <c r="D254" s="295"/>
      <c r="E254" s="48">
        <v>2488.88</v>
      </c>
      <c r="F254" s="49" t="e">
        <f>D204</f>
        <v>#DIV/0!</v>
      </c>
      <c r="G254" s="9" t="e">
        <f t="shared" si="1"/>
        <v>#DIV/0!</v>
      </c>
      <c r="H254" s="49" t="e">
        <f>F204</f>
        <v>#DIV/0!</v>
      </c>
      <c r="I254" s="9" t="e">
        <f t="shared" si="2"/>
        <v>#DIV/0!</v>
      </c>
      <c r="J254" s="49" t="e">
        <f>H204</f>
        <v>#DIV/0!</v>
      </c>
      <c r="K254" s="9" t="e">
        <f t="shared" si="3"/>
        <v>#DIV/0!</v>
      </c>
      <c r="L254" s="165"/>
      <c r="M254" s="166"/>
      <c r="N254" s="108"/>
    </row>
    <row r="255" spans="1:14" x14ac:dyDescent="0.2">
      <c r="A255" s="295" t="s">
        <v>331</v>
      </c>
      <c r="B255" s="295"/>
      <c r="C255" s="295"/>
      <c r="D255" s="295"/>
      <c r="E255" s="48">
        <v>246.4</v>
      </c>
      <c r="F255" s="49" t="e">
        <f>D210</f>
        <v>#DIV/0!</v>
      </c>
      <c r="G255" s="9" t="e">
        <f t="shared" si="1"/>
        <v>#DIV/0!</v>
      </c>
      <c r="H255" s="49" t="e">
        <f>F210</f>
        <v>#DIV/0!</v>
      </c>
      <c r="I255" s="9" t="e">
        <f t="shared" si="2"/>
        <v>#DIV/0!</v>
      </c>
      <c r="J255" s="49" t="e">
        <f>H210</f>
        <v>#DIV/0!</v>
      </c>
      <c r="K255" s="9" t="e">
        <f t="shared" si="3"/>
        <v>#DIV/0!</v>
      </c>
      <c r="L255" s="165"/>
      <c r="M255" s="166"/>
      <c r="N255" s="108"/>
    </row>
    <row r="256" spans="1:14" x14ac:dyDescent="0.2">
      <c r="A256" s="295" t="s">
        <v>332</v>
      </c>
      <c r="B256" s="295"/>
      <c r="C256" s="295"/>
      <c r="D256" s="295"/>
      <c r="E256" s="48">
        <v>548.24</v>
      </c>
      <c r="F256" s="49" t="e">
        <f>D216</f>
        <v>#DIV/0!</v>
      </c>
      <c r="G256" s="9" t="e">
        <f t="shared" si="1"/>
        <v>#DIV/0!</v>
      </c>
      <c r="H256" s="49" t="e">
        <f>F216</f>
        <v>#DIV/0!</v>
      </c>
      <c r="I256" s="9" t="e">
        <f t="shared" si="2"/>
        <v>#DIV/0!</v>
      </c>
      <c r="J256" s="49" t="e">
        <f>H216</f>
        <v>#DIV/0!</v>
      </c>
      <c r="K256" s="9" t="e">
        <f t="shared" si="3"/>
        <v>#DIV/0!</v>
      </c>
      <c r="L256" s="165"/>
      <c r="M256" s="166"/>
      <c r="N256" s="108"/>
    </row>
    <row r="257" spans="1:14" x14ac:dyDescent="0.2">
      <c r="A257" s="295" t="s">
        <v>325</v>
      </c>
      <c r="B257" s="295"/>
      <c r="C257" s="295"/>
      <c r="D257" s="295"/>
      <c r="E257" s="48">
        <v>1353.78</v>
      </c>
      <c r="F257" s="49" t="e">
        <f>D222</f>
        <v>#DIV/0!</v>
      </c>
      <c r="G257" s="9" t="e">
        <f t="shared" si="1"/>
        <v>#DIV/0!</v>
      </c>
      <c r="H257" s="49" t="e">
        <f>F222</f>
        <v>#DIV/0!</v>
      </c>
      <c r="I257" s="9" t="e">
        <f t="shared" si="2"/>
        <v>#DIV/0!</v>
      </c>
      <c r="J257" s="49" t="e">
        <f>H222</f>
        <v>#DIV/0!</v>
      </c>
      <c r="K257" s="9" t="e">
        <f t="shared" si="3"/>
        <v>#DIV/0!</v>
      </c>
      <c r="L257" s="165"/>
      <c r="M257" s="166"/>
      <c r="N257" s="108"/>
    </row>
    <row r="258" spans="1:14" x14ac:dyDescent="0.2">
      <c r="A258" s="295" t="s">
        <v>326</v>
      </c>
      <c r="B258" s="295"/>
      <c r="C258" s="295"/>
      <c r="D258" s="295"/>
      <c r="E258" s="48">
        <v>0</v>
      </c>
      <c r="F258" s="49" t="e">
        <f>D228</f>
        <v>#DIV/0!</v>
      </c>
      <c r="G258" s="9" t="e">
        <f t="shared" si="1"/>
        <v>#DIV/0!</v>
      </c>
      <c r="H258" s="49" t="e">
        <f>F228</f>
        <v>#DIV/0!</v>
      </c>
      <c r="I258" s="9" t="e">
        <f t="shared" si="2"/>
        <v>#DIV/0!</v>
      </c>
      <c r="J258" s="49" t="e">
        <f>H228</f>
        <v>#DIV/0!</v>
      </c>
      <c r="K258" s="9" t="e">
        <f t="shared" si="3"/>
        <v>#DIV/0!</v>
      </c>
      <c r="L258" s="165"/>
      <c r="M258" s="166"/>
      <c r="N258" s="108"/>
    </row>
    <row r="259" spans="1:14" x14ac:dyDescent="0.2">
      <c r="A259" s="295" t="s">
        <v>327</v>
      </c>
      <c r="B259" s="295"/>
      <c r="C259" s="295"/>
      <c r="D259" s="295"/>
      <c r="E259" s="48">
        <v>0</v>
      </c>
      <c r="F259" s="49" t="e">
        <f>G234</f>
        <v>#DIV/0!</v>
      </c>
      <c r="G259" s="9" t="e">
        <f t="shared" si="1"/>
        <v>#DIV/0!</v>
      </c>
      <c r="H259" s="49" t="e">
        <f>I234</f>
        <v>#DIV/0!</v>
      </c>
      <c r="I259" s="9" t="e">
        <f t="shared" si="2"/>
        <v>#DIV/0!</v>
      </c>
      <c r="J259" s="49" t="e">
        <f>K234</f>
        <v>#DIV/0!</v>
      </c>
      <c r="K259" s="9" t="e">
        <f t="shared" si="3"/>
        <v>#DIV/0!</v>
      </c>
      <c r="L259" s="165"/>
      <c r="M259" s="166"/>
      <c r="N259" s="108"/>
    </row>
    <row r="260" spans="1:14" x14ac:dyDescent="0.2">
      <c r="A260" s="295" t="s">
        <v>328</v>
      </c>
      <c r="B260" s="295"/>
      <c r="C260" s="295"/>
      <c r="D260" s="295"/>
      <c r="E260" s="48">
        <v>3.61</v>
      </c>
      <c r="F260" s="49" t="e">
        <f>G240</f>
        <v>#DIV/0!</v>
      </c>
      <c r="G260" s="9" t="e">
        <f t="shared" si="1"/>
        <v>#DIV/0!</v>
      </c>
      <c r="H260" s="49" t="e">
        <f>I240</f>
        <v>#DIV/0!</v>
      </c>
      <c r="I260" s="9" t="e">
        <f t="shared" si="2"/>
        <v>#DIV/0!</v>
      </c>
      <c r="J260" s="49" t="e">
        <f>K240</f>
        <v>#DIV/0!</v>
      </c>
      <c r="K260" s="9" t="e">
        <f t="shared" si="3"/>
        <v>#DIV/0!</v>
      </c>
      <c r="L260" s="165"/>
      <c r="M260" s="166"/>
      <c r="N260" s="108"/>
    </row>
    <row r="261" spans="1:14" x14ac:dyDescent="0.2">
      <c r="A261" s="295" t="s">
        <v>333</v>
      </c>
      <c r="B261" s="295"/>
      <c r="C261" s="295"/>
      <c r="D261" s="295"/>
      <c r="E261" s="125">
        <v>123.75</v>
      </c>
      <c r="F261" s="9" t="e">
        <f>G246</f>
        <v>#DIV/0!</v>
      </c>
      <c r="G261" s="9" t="e">
        <f t="shared" si="1"/>
        <v>#DIV/0!</v>
      </c>
      <c r="H261" s="9" t="e">
        <f>I246</f>
        <v>#DIV/0!</v>
      </c>
      <c r="I261" s="9" t="e">
        <f t="shared" si="2"/>
        <v>#DIV/0!</v>
      </c>
      <c r="J261" s="9" t="e">
        <f>K246</f>
        <v>#DIV/0!</v>
      </c>
      <c r="K261" s="9" t="e">
        <f t="shared" si="3"/>
        <v>#DIV/0!</v>
      </c>
      <c r="L261" s="165"/>
      <c r="M261" s="166"/>
      <c r="N261" s="108"/>
    </row>
    <row r="262" spans="1:14" ht="15" customHeight="1" x14ac:dyDescent="0.2">
      <c r="A262" s="299" t="s">
        <v>116</v>
      </c>
      <c r="B262" s="299"/>
      <c r="C262" s="299"/>
      <c r="D262" s="299"/>
      <c r="E262" s="110">
        <f>SUM(E251:E261)</f>
        <v>8855.4800000000014</v>
      </c>
      <c r="F262" s="124" t="s">
        <v>127</v>
      </c>
      <c r="G262" s="62" t="e">
        <f>SUM(G251:G261)</f>
        <v>#DIV/0!</v>
      </c>
      <c r="H262" s="124" t="s">
        <v>127</v>
      </c>
      <c r="I262" s="62" t="e">
        <f>SUM(I251:I261)</f>
        <v>#DIV/0!</v>
      </c>
      <c r="J262" s="124" t="s">
        <v>127</v>
      </c>
      <c r="K262" s="62" t="e">
        <f>SUM(K251:K261)</f>
        <v>#DIV/0!</v>
      </c>
      <c r="L262" s="108"/>
      <c r="M262" s="108"/>
      <c r="N262" s="108"/>
    </row>
    <row r="263" spans="1:14" x14ac:dyDescent="0.2">
      <c r="A263" s="3"/>
      <c r="B263" s="3"/>
      <c r="C263" s="3"/>
      <c r="D263" s="3"/>
      <c r="E263" s="3"/>
      <c r="F263" s="20"/>
      <c r="G263" s="170"/>
      <c r="L263" s="108"/>
      <c r="M263" s="108"/>
      <c r="N263" s="108"/>
    </row>
    <row r="264" spans="1:14" x14ac:dyDescent="0.2">
      <c r="A264" s="6" t="s">
        <v>117</v>
      </c>
      <c r="B264" s="6"/>
      <c r="C264" s="6"/>
      <c r="D264" s="6"/>
      <c r="E264" s="6"/>
      <c r="F264" s="21"/>
      <c r="G264" s="21"/>
    </row>
    <row r="265" spans="1:14" ht="15" customHeight="1" x14ac:dyDescent="0.2">
      <c r="A265" s="298" t="s">
        <v>118</v>
      </c>
      <c r="B265" s="298"/>
      <c r="C265" s="298"/>
      <c r="D265" s="298"/>
      <c r="E265" s="298"/>
      <c r="F265" s="299"/>
      <c r="G265" s="299"/>
      <c r="H265" s="299"/>
      <c r="I265" s="299"/>
      <c r="J265" s="299"/>
      <c r="K265" s="299"/>
    </row>
    <row r="266" spans="1:14" ht="15" customHeight="1" x14ac:dyDescent="0.2">
      <c r="A266" s="304"/>
      <c r="B266" s="300" t="s">
        <v>119</v>
      </c>
      <c r="C266" s="300"/>
      <c r="D266" s="300"/>
      <c r="E266" s="301"/>
      <c r="F266" s="277" t="s">
        <v>184</v>
      </c>
      <c r="G266" s="296"/>
      <c r="H266" s="296" t="s">
        <v>185</v>
      </c>
      <c r="I266" s="296"/>
      <c r="J266" s="296" t="s">
        <v>158</v>
      </c>
      <c r="K266" s="296"/>
    </row>
    <row r="267" spans="1:14" x14ac:dyDescent="0.2">
      <c r="A267" s="305"/>
      <c r="B267" s="302"/>
      <c r="C267" s="302"/>
      <c r="D267" s="302"/>
      <c r="E267" s="303"/>
      <c r="F267" s="273" t="s">
        <v>29</v>
      </c>
      <c r="G267" s="275"/>
      <c r="H267" s="275" t="s">
        <v>29</v>
      </c>
      <c r="I267" s="275"/>
      <c r="J267" s="275" t="s">
        <v>29</v>
      </c>
      <c r="K267" s="275"/>
      <c r="L267" s="167"/>
    </row>
    <row r="268" spans="1:14" x14ac:dyDescent="0.2">
      <c r="A268" s="123" t="s">
        <v>4</v>
      </c>
      <c r="B268" s="316" t="s">
        <v>120</v>
      </c>
      <c r="C268" s="316"/>
      <c r="D268" s="316"/>
      <c r="E268" s="316"/>
      <c r="F268" s="297" t="e">
        <f>G262</f>
        <v>#DIV/0!</v>
      </c>
      <c r="G268" s="281"/>
      <c r="H268" s="297" t="e">
        <f>I262</f>
        <v>#DIV/0!</v>
      </c>
      <c r="I268" s="281"/>
      <c r="J268" s="297" t="e">
        <f>K262</f>
        <v>#DIV/0!</v>
      </c>
      <c r="K268" s="281"/>
    </row>
    <row r="269" spans="1:14" ht="27.75" customHeight="1" x14ac:dyDescent="0.2">
      <c r="A269" s="125" t="s">
        <v>6</v>
      </c>
      <c r="B269" s="295" t="s">
        <v>151</v>
      </c>
      <c r="C269" s="295"/>
      <c r="D269" s="295"/>
      <c r="E269" s="295"/>
      <c r="F269" s="297" t="e">
        <f>F268*$E$14</f>
        <v>#DIV/0!</v>
      </c>
      <c r="G269" s="281"/>
      <c r="H269" s="297" t="e">
        <f>H268*$E$14</f>
        <v>#DIV/0!</v>
      </c>
      <c r="I269" s="281"/>
      <c r="J269" s="297" t="e">
        <f>J268*$E$14</f>
        <v>#DIV/0!</v>
      </c>
      <c r="K269" s="281"/>
    </row>
    <row r="270" spans="1:14" x14ac:dyDescent="0.2">
      <c r="A270" s="2" t="s">
        <v>121</v>
      </c>
      <c r="B270" s="23"/>
      <c r="C270" s="23"/>
      <c r="D270" s="23"/>
      <c r="E270" s="23"/>
      <c r="F270" s="2"/>
      <c r="G270" s="2"/>
    </row>
    <row r="271" spans="1:14" x14ac:dyDescent="0.2">
      <c r="G271" s="167"/>
      <c r="I271" s="167"/>
      <c r="K271" s="167"/>
      <c r="L271" s="241" t="e">
        <f>J268/J245</f>
        <v>#DIV/0!</v>
      </c>
    </row>
    <row r="272" spans="1:14" x14ac:dyDescent="0.2">
      <c r="G272" s="167"/>
      <c r="I272" s="167"/>
      <c r="K272" s="167"/>
    </row>
    <row r="274" spans="7:11" x14ac:dyDescent="0.2">
      <c r="G274" s="167"/>
      <c r="I274" s="167"/>
      <c r="K274" s="167"/>
    </row>
    <row r="275" spans="7:11" x14ac:dyDescent="0.2">
      <c r="G275" s="167"/>
      <c r="I275" s="167"/>
      <c r="K275" s="167"/>
    </row>
    <row r="279" spans="7:11" x14ac:dyDescent="0.2">
      <c r="G279" s="168"/>
    </row>
    <row r="283" spans="7:11" x14ac:dyDescent="0.2">
      <c r="K283" s="167"/>
    </row>
  </sheetData>
  <mergeCells count="207">
    <mergeCell ref="J231:K231"/>
    <mergeCell ref="F237:G237"/>
    <mergeCell ref="H237:I237"/>
    <mergeCell ref="J237:K237"/>
    <mergeCell ref="A260:D260"/>
    <mergeCell ref="A255:D255"/>
    <mergeCell ref="A256:D256"/>
    <mergeCell ref="A257:D257"/>
    <mergeCell ref="A258:D258"/>
    <mergeCell ref="A259:D259"/>
    <mergeCell ref="H151:I151"/>
    <mergeCell ref="J151:K151"/>
    <mergeCell ref="B162:C162"/>
    <mergeCell ref="C189:D189"/>
    <mergeCell ref="E189:F189"/>
    <mergeCell ref="G189:H189"/>
    <mergeCell ref="J156:T156"/>
    <mergeCell ref="A163:C163"/>
    <mergeCell ref="B34:C34"/>
    <mergeCell ref="B35:C35"/>
    <mergeCell ref="B36:C36"/>
    <mergeCell ref="B37:C37"/>
    <mergeCell ref="B38:C38"/>
    <mergeCell ref="B156:C156"/>
    <mergeCell ref="B160:C160"/>
    <mergeCell ref="B158:C158"/>
    <mergeCell ref="B159:C159"/>
    <mergeCell ref="B88:D88"/>
    <mergeCell ref="B89:D89"/>
    <mergeCell ref="B90:D90"/>
    <mergeCell ref="B93:D93"/>
    <mergeCell ref="B94:D94"/>
    <mergeCell ref="B95:D95"/>
    <mergeCell ref="A98:D98"/>
    <mergeCell ref="B109:D109"/>
    <mergeCell ref="B110:D110"/>
    <mergeCell ref="B111:D111"/>
    <mergeCell ref="B112:D112"/>
    <mergeCell ref="B80:D80"/>
    <mergeCell ref="B81:D81"/>
    <mergeCell ref="B82:D82"/>
    <mergeCell ref="B108:D108"/>
    <mergeCell ref="A84:D84"/>
    <mergeCell ref="A102:G102"/>
    <mergeCell ref="A90:A92"/>
    <mergeCell ref="B91:D91"/>
    <mergeCell ref="B92:D92"/>
    <mergeCell ref="G107:AA107"/>
    <mergeCell ref="B106:D106"/>
    <mergeCell ref="B107:D107"/>
    <mergeCell ref="B83:D83"/>
    <mergeCell ref="B87:D87"/>
    <mergeCell ref="G90:V90"/>
    <mergeCell ref="A103:G103"/>
    <mergeCell ref="B96:D96"/>
    <mergeCell ref="B97:D97"/>
    <mergeCell ref="B69:D69"/>
    <mergeCell ref="A75:D75"/>
    <mergeCell ref="B70:D70"/>
    <mergeCell ref="B71:D71"/>
    <mergeCell ref="B74:D74"/>
    <mergeCell ref="A77:G77"/>
    <mergeCell ref="B72:D72"/>
    <mergeCell ref="B73:D73"/>
    <mergeCell ref="B23:D23"/>
    <mergeCell ref="B24:D24"/>
    <mergeCell ref="B25:D25"/>
    <mergeCell ref="B26:D26"/>
    <mergeCell ref="A61:D61"/>
    <mergeCell ref="A48:F48"/>
    <mergeCell ref="A49:F49"/>
    <mergeCell ref="B68:D68"/>
    <mergeCell ref="A62:D62"/>
    <mergeCell ref="B32:C32"/>
    <mergeCell ref="B31:C31"/>
    <mergeCell ref="B33:C33"/>
    <mergeCell ref="B14:D14"/>
    <mergeCell ref="A17:B17"/>
    <mergeCell ref="A18:B18"/>
    <mergeCell ref="D17:E17"/>
    <mergeCell ref="D18:E18"/>
    <mergeCell ref="A22:E22"/>
    <mergeCell ref="E11:F11"/>
    <mergeCell ref="E12:F12"/>
    <mergeCell ref="E13:F13"/>
    <mergeCell ref="E14:F14"/>
    <mergeCell ref="B4:C4"/>
    <mergeCell ref="B5:C5"/>
    <mergeCell ref="B7:C7"/>
    <mergeCell ref="B140:C140"/>
    <mergeCell ref="B141:C141"/>
    <mergeCell ref="B27:D27"/>
    <mergeCell ref="B44:D44"/>
    <mergeCell ref="B45:D45"/>
    <mergeCell ref="B46:D46"/>
    <mergeCell ref="A47:D47"/>
    <mergeCell ref="A40:E40"/>
    <mergeCell ref="A39:C39"/>
    <mergeCell ref="B57:C57"/>
    <mergeCell ref="B58:C58"/>
    <mergeCell ref="B59:C59"/>
    <mergeCell ref="B60:C60"/>
    <mergeCell ref="E7:F7"/>
    <mergeCell ref="B52:C52"/>
    <mergeCell ref="B53:C53"/>
    <mergeCell ref="B54:C54"/>
    <mergeCell ref="B55:C55"/>
    <mergeCell ref="B56:C56"/>
    <mergeCell ref="B11:D11"/>
    <mergeCell ref="B13:D13"/>
    <mergeCell ref="B268:E268"/>
    <mergeCell ref="B170:C170"/>
    <mergeCell ref="B171:C171"/>
    <mergeCell ref="A174:C174"/>
    <mergeCell ref="A151:A152"/>
    <mergeCell ref="B151:C152"/>
    <mergeCell ref="D151:E151"/>
    <mergeCell ref="F151:G151"/>
    <mergeCell ref="F268:G268"/>
    <mergeCell ref="B172:C172"/>
    <mergeCell ref="B173:C173"/>
    <mergeCell ref="A176:C176"/>
    <mergeCell ref="A253:D253"/>
    <mergeCell ref="A254:D254"/>
    <mergeCell ref="A261:D261"/>
    <mergeCell ref="C195:D195"/>
    <mergeCell ref="E195:F195"/>
    <mergeCell ref="C183:D183"/>
    <mergeCell ref="E183:F183"/>
    <mergeCell ref="A252:D252"/>
    <mergeCell ref="C225:D225"/>
    <mergeCell ref="E225:F225"/>
    <mergeCell ref="G225:H225"/>
    <mergeCell ref="H231:I231"/>
    <mergeCell ref="A114:D114"/>
    <mergeCell ref="B126:D126"/>
    <mergeCell ref="B127:D127"/>
    <mergeCell ref="A128:D128"/>
    <mergeCell ref="B169:C169"/>
    <mergeCell ref="A147:G147"/>
    <mergeCell ref="A145:C145"/>
    <mergeCell ref="B142:C142"/>
    <mergeCell ref="B168:C168"/>
    <mergeCell ref="A1:G1"/>
    <mergeCell ref="A2:G2"/>
    <mergeCell ref="B157:C157"/>
    <mergeCell ref="B161:C161"/>
    <mergeCell ref="B144:C144"/>
    <mergeCell ref="B153:C153"/>
    <mergeCell ref="B154:C154"/>
    <mergeCell ref="B155:C155"/>
    <mergeCell ref="B132:D132"/>
    <mergeCell ref="B133:D133"/>
    <mergeCell ref="B134:D134"/>
    <mergeCell ref="B135:D135"/>
    <mergeCell ref="A136:D136"/>
    <mergeCell ref="B143:C143"/>
    <mergeCell ref="A123:D123"/>
    <mergeCell ref="A115:G115"/>
    <mergeCell ref="A129:G129"/>
    <mergeCell ref="B113:D113"/>
    <mergeCell ref="B118:D118"/>
    <mergeCell ref="B119:D119"/>
    <mergeCell ref="B120:D120"/>
    <mergeCell ref="B121:D121"/>
    <mergeCell ref="B122:D122"/>
    <mergeCell ref="B12:D12"/>
    <mergeCell ref="F269:G269"/>
    <mergeCell ref="H267:I267"/>
    <mergeCell ref="J267:K267"/>
    <mergeCell ref="H268:I268"/>
    <mergeCell ref="J268:K268"/>
    <mergeCell ref="H269:I269"/>
    <mergeCell ref="J269:K269"/>
    <mergeCell ref="F243:G243"/>
    <mergeCell ref="H243:I243"/>
    <mergeCell ref="J243:K243"/>
    <mergeCell ref="F249:G249"/>
    <mergeCell ref="H249:I249"/>
    <mergeCell ref="J249:K249"/>
    <mergeCell ref="F266:G266"/>
    <mergeCell ref="H266:I266"/>
    <mergeCell ref="J266:K266"/>
    <mergeCell ref="A265:K265"/>
    <mergeCell ref="B266:E267"/>
    <mergeCell ref="A266:A267"/>
    <mergeCell ref="B269:E269"/>
    <mergeCell ref="F267:G267"/>
    <mergeCell ref="A250:D250"/>
    <mergeCell ref="A251:D251"/>
    <mergeCell ref="A262:D262"/>
    <mergeCell ref="B175:C175"/>
    <mergeCell ref="C207:D207"/>
    <mergeCell ref="E207:F207"/>
    <mergeCell ref="F231:G231"/>
    <mergeCell ref="G183:H183"/>
    <mergeCell ref="G207:H207"/>
    <mergeCell ref="C213:D213"/>
    <mergeCell ref="E213:F213"/>
    <mergeCell ref="G213:H213"/>
    <mergeCell ref="C219:D219"/>
    <mergeCell ref="E219:F219"/>
    <mergeCell ref="G219:H219"/>
    <mergeCell ref="G195:H195"/>
    <mergeCell ref="C201:D201"/>
    <mergeCell ref="E201:F201"/>
    <mergeCell ref="G201:H201"/>
  </mergeCells>
  <conditionalFormatting sqref="D178:G178">
    <cfRule type="cellIs" dxfId="5" priority="1" operator="equal">
      <formula>"Erro"</formula>
    </cfRule>
    <cfRule type="cellIs" dxfId="4" priority="2" operator="equal">
      <formula>"Ok"</formula>
    </cfRule>
  </conditionalFormatting>
  <printOptions horizontalCentered="1"/>
  <pageMargins left="0.23622047244094491" right="0.23622047244094491" top="0.74803149606299213" bottom="0.74803149606299213" header="0.31496062992125984" footer="0.31496062992125984"/>
  <pageSetup paperSize="9" scale="42" fitToHeight="0" orientation="landscape" r:id="rId1"/>
  <headerFooter>
    <oddFooter>&amp;R&amp;P/&amp;N</oddFooter>
  </headerFooter>
  <rowBreaks count="4" manualBreakCount="4">
    <brk id="50" max="26" man="1"/>
    <brk id="116" max="26" man="1"/>
    <brk id="178" max="26" man="1"/>
    <brk id="241" max="26" man="1"/>
  </rowBreaks>
  <ignoredErrors>
    <ignoredError sqref="G156 E156 H245 G153:G154 J251:J256 H251:H256 G251 I251 F255 J239 H23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3"/>
  <sheetViews>
    <sheetView showGridLines="0" view="pageBreakPreview" zoomScale="85" zoomScaleNormal="90" zoomScaleSheetLayoutView="85" workbookViewId="0">
      <selection activeCell="D9" sqref="D9"/>
    </sheetView>
  </sheetViews>
  <sheetFormatPr defaultRowHeight="12.75" x14ac:dyDescent="0.2"/>
  <cols>
    <col min="1" max="1" width="15.7109375" style="55" customWidth="1"/>
    <col min="2" max="2" width="19.28515625" style="55" customWidth="1"/>
    <col min="3" max="3" width="18.7109375" style="55" customWidth="1"/>
    <col min="4" max="4" width="17.85546875" style="55" customWidth="1"/>
    <col min="5" max="6" width="18.7109375" style="55" customWidth="1"/>
    <col min="7" max="7" width="15.7109375" style="55" customWidth="1"/>
    <col min="8" max="8" width="17.28515625" style="55" customWidth="1"/>
    <col min="9" max="11" width="15.85546875" style="55" customWidth="1"/>
    <col min="12" max="12" width="11.140625" style="55" customWidth="1"/>
    <col min="13" max="16384" width="9.140625" style="55"/>
  </cols>
  <sheetData>
    <row r="1" spans="1:9" x14ac:dyDescent="0.2">
      <c r="A1" s="306" t="s">
        <v>257</v>
      </c>
      <c r="B1" s="306"/>
      <c r="C1" s="306"/>
      <c r="D1" s="306"/>
      <c r="E1" s="306"/>
      <c r="F1" s="306"/>
      <c r="G1" s="306"/>
      <c r="H1" s="198"/>
    </row>
    <row r="2" spans="1:9" x14ac:dyDescent="0.2">
      <c r="A2" s="307" t="s">
        <v>0</v>
      </c>
      <c r="B2" s="307"/>
      <c r="C2" s="307"/>
      <c r="D2" s="307"/>
      <c r="E2" s="307"/>
      <c r="F2" s="307"/>
      <c r="G2" s="307"/>
      <c r="H2" s="199"/>
    </row>
    <row r="3" spans="1:9" x14ac:dyDescent="0.2">
      <c r="A3" s="2"/>
      <c r="B3" s="2"/>
      <c r="C3" s="2"/>
      <c r="D3" s="2"/>
      <c r="E3" s="2"/>
      <c r="F3" s="2"/>
      <c r="G3" s="2"/>
      <c r="H3" s="2"/>
    </row>
    <row r="4" spans="1:9" x14ac:dyDescent="0.2">
      <c r="A4" s="22" t="s">
        <v>1</v>
      </c>
      <c r="B4" s="322" t="s">
        <v>264</v>
      </c>
      <c r="C4" s="323"/>
      <c r="D4" s="19"/>
      <c r="E4" s="19"/>
      <c r="F4" s="19"/>
      <c r="G4" s="19"/>
      <c r="H4" s="19"/>
      <c r="I4" s="4"/>
    </row>
    <row r="5" spans="1:9" x14ac:dyDescent="0.2">
      <c r="A5" s="22" t="s">
        <v>2</v>
      </c>
      <c r="B5" s="324" t="s">
        <v>127</v>
      </c>
      <c r="C5" s="325"/>
      <c r="D5" s="19"/>
      <c r="E5" s="19"/>
      <c r="F5" s="19"/>
      <c r="G5" s="19"/>
      <c r="H5" s="19"/>
      <c r="I5" s="4"/>
    </row>
    <row r="7" spans="1:9" x14ac:dyDescent="0.2">
      <c r="A7" s="22" t="s">
        <v>155</v>
      </c>
      <c r="B7" s="326"/>
      <c r="C7" s="327"/>
      <c r="D7" s="22" t="s">
        <v>26</v>
      </c>
      <c r="E7" s="329" t="s">
        <v>127</v>
      </c>
      <c r="F7" s="330"/>
      <c r="G7" s="19"/>
      <c r="H7" s="19"/>
    </row>
    <row r="8" spans="1:9" x14ac:dyDescent="0.2">
      <c r="D8" s="19"/>
      <c r="E8" s="19"/>
      <c r="F8" s="19"/>
      <c r="G8" s="19"/>
      <c r="H8" s="19"/>
    </row>
    <row r="9" spans="1:9" x14ac:dyDescent="0.2">
      <c r="A9" s="2"/>
      <c r="B9" s="2"/>
      <c r="C9" s="2"/>
      <c r="D9" s="2"/>
      <c r="E9" s="2"/>
      <c r="F9" s="2"/>
      <c r="G9" s="2"/>
      <c r="H9" s="2"/>
    </row>
    <row r="10" spans="1:9" x14ac:dyDescent="0.2">
      <c r="A10" s="5" t="s">
        <v>3</v>
      </c>
      <c r="B10" s="5"/>
      <c r="C10" s="5"/>
      <c r="D10" s="5"/>
      <c r="E10" s="5"/>
      <c r="F10" s="5"/>
      <c r="G10" s="5"/>
      <c r="H10" s="5"/>
      <c r="I10" s="133"/>
    </row>
    <row r="11" spans="1:9" x14ac:dyDescent="0.2">
      <c r="A11" s="196" t="s">
        <v>4</v>
      </c>
      <c r="B11" s="295" t="s">
        <v>5</v>
      </c>
      <c r="C11" s="295"/>
      <c r="D11" s="295"/>
      <c r="E11" s="333" t="s">
        <v>127</v>
      </c>
      <c r="F11" s="333"/>
      <c r="G11" s="14"/>
    </row>
    <row r="12" spans="1:9" x14ac:dyDescent="0.2">
      <c r="A12" s="196" t="s">
        <v>6</v>
      </c>
      <c r="B12" s="295" t="s">
        <v>7</v>
      </c>
      <c r="C12" s="295"/>
      <c r="D12" s="295"/>
      <c r="E12" s="281"/>
      <c r="F12" s="281"/>
      <c r="G12" s="14"/>
    </row>
    <row r="13" spans="1:9" x14ac:dyDescent="0.2">
      <c r="A13" s="196" t="s">
        <v>8</v>
      </c>
      <c r="B13" s="295" t="s">
        <v>9</v>
      </c>
      <c r="C13" s="295"/>
      <c r="D13" s="295"/>
      <c r="E13" s="281"/>
      <c r="F13" s="281"/>
      <c r="G13" s="14"/>
    </row>
    <row r="14" spans="1:9" x14ac:dyDescent="0.2">
      <c r="A14" s="196" t="s">
        <v>10</v>
      </c>
      <c r="B14" s="295" t="s">
        <v>11</v>
      </c>
      <c r="C14" s="295"/>
      <c r="D14" s="295"/>
      <c r="E14" s="281"/>
      <c r="F14" s="281"/>
      <c r="G14" s="14"/>
    </row>
    <row r="15" spans="1:9" x14ac:dyDescent="0.2">
      <c r="A15" s="2"/>
      <c r="B15" s="2"/>
      <c r="C15" s="2"/>
      <c r="D15" s="2"/>
      <c r="E15" s="2"/>
      <c r="F15" s="2"/>
      <c r="G15" s="2"/>
      <c r="H15" s="2"/>
    </row>
    <row r="16" spans="1:9" x14ac:dyDescent="0.2">
      <c r="A16" s="5" t="s">
        <v>12</v>
      </c>
      <c r="B16" s="5"/>
      <c r="C16" s="5"/>
      <c r="D16" s="5"/>
      <c r="E16" s="5"/>
      <c r="F16" s="5"/>
      <c r="G16" s="5"/>
      <c r="H16" s="5"/>
      <c r="I16" s="133"/>
    </row>
    <row r="17" spans="1:9" s="134" customFormat="1" ht="36" customHeight="1" x14ac:dyDescent="0.2">
      <c r="A17" s="299" t="s">
        <v>13</v>
      </c>
      <c r="B17" s="299"/>
      <c r="C17" s="194" t="s">
        <v>14</v>
      </c>
      <c r="D17" s="331" t="s">
        <v>25</v>
      </c>
      <c r="E17" s="331"/>
      <c r="F17" s="16"/>
      <c r="G17" s="16"/>
    </row>
    <row r="18" spans="1:9" ht="14.25" x14ac:dyDescent="0.2">
      <c r="A18" s="281" t="s">
        <v>15</v>
      </c>
      <c r="B18" s="281"/>
      <c r="C18" s="196" t="s">
        <v>16</v>
      </c>
      <c r="D18" s="332">
        <v>19169.21</v>
      </c>
      <c r="E18" s="332"/>
      <c r="F18" s="14"/>
      <c r="G18" s="14"/>
    </row>
    <row r="19" spans="1:9" x14ac:dyDescent="0.2">
      <c r="A19" s="2"/>
      <c r="B19" s="2"/>
      <c r="C19" s="2"/>
      <c r="D19" s="2"/>
      <c r="E19" s="2"/>
      <c r="F19" s="2"/>
      <c r="G19" s="2"/>
      <c r="H19" s="2"/>
    </row>
    <row r="20" spans="1:9" x14ac:dyDescent="0.2">
      <c r="A20" s="5" t="s">
        <v>17</v>
      </c>
      <c r="B20" s="5"/>
      <c r="C20" s="5"/>
      <c r="D20" s="5"/>
      <c r="E20" s="5"/>
      <c r="F20" s="5"/>
      <c r="G20" s="5"/>
      <c r="H20" s="5"/>
      <c r="I20" s="133"/>
    </row>
    <row r="21" spans="1:9" x14ac:dyDescent="0.2">
      <c r="A21" s="5" t="s">
        <v>18</v>
      </c>
      <c r="B21" s="5"/>
      <c r="C21" s="5"/>
      <c r="D21" s="5"/>
      <c r="E21" s="5"/>
      <c r="F21" s="5"/>
      <c r="G21" s="5"/>
      <c r="H21" s="5"/>
      <c r="I21" s="133"/>
    </row>
    <row r="22" spans="1:9" ht="15.75" customHeight="1" x14ac:dyDescent="0.2">
      <c r="A22" s="331" t="s">
        <v>19</v>
      </c>
      <c r="B22" s="331"/>
      <c r="C22" s="331"/>
      <c r="D22" s="331"/>
      <c r="E22" s="331"/>
      <c r="F22" s="15"/>
      <c r="G22" s="15"/>
    </row>
    <row r="23" spans="1:9" ht="25.5" x14ac:dyDescent="0.2">
      <c r="A23" s="196">
        <v>1</v>
      </c>
      <c r="B23" s="308" t="s">
        <v>20</v>
      </c>
      <c r="C23" s="311"/>
      <c r="D23" s="309"/>
      <c r="E23" s="196" t="s">
        <v>15</v>
      </c>
      <c r="G23" s="14"/>
    </row>
    <row r="24" spans="1:9" ht="15" customHeight="1" x14ac:dyDescent="0.2">
      <c r="A24" s="196">
        <v>2</v>
      </c>
      <c r="B24" s="308" t="s">
        <v>21</v>
      </c>
      <c r="C24" s="311"/>
      <c r="D24" s="309"/>
      <c r="E24" s="196"/>
      <c r="G24" s="14"/>
    </row>
    <row r="25" spans="1:9" ht="15" customHeight="1" x14ac:dyDescent="0.2">
      <c r="A25" s="196">
        <v>3</v>
      </c>
      <c r="B25" s="308" t="s">
        <v>22</v>
      </c>
      <c r="C25" s="311"/>
      <c r="D25" s="309"/>
      <c r="E25" s="33"/>
      <c r="F25" s="169"/>
      <c r="G25" s="14"/>
    </row>
    <row r="26" spans="1:9" ht="27.75" customHeight="1" x14ac:dyDescent="0.2">
      <c r="A26" s="196">
        <v>4</v>
      </c>
      <c r="B26" s="308" t="s">
        <v>23</v>
      </c>
      <c r="C26" s="311"/>
      <c r="D26" s="309"/>
      <c r="E26" s="135"/>
      <c r="G26" s="14"/>
    </row>
    <row r="27" spans="1:9" ht="15" customHeight="1" x14ac:dyDescent="0.2">
      <c r="A27" s="196">
        <v>5</v>
      </c>
      <c r="B27" s="308" t="s">
        <v>24</v>
      </c>
      <c r="C27" s="311"/>
      <c r="D27" s="309"/>
      <c r="E27" s="136"/>
      <c r="G27" s="14"/>
    </row>
    <row r="28" spans="1:9" x14ac:dyDescent="0.2">
      <c r="A28" s="23" t="s">
        <v>204</v>
      </c>
      <c r="B28" s="3"/>
      <c r="C28" s="3"/>
      <c r="D28" s="3"/>
      <c r="E28" s="3"/>
      <c r="G28" s="3"/>
      <c r="H28" s="3"/>
    </row>
    <row r="29" spans="1:9" x14ac:dyDescent="0.2">
      <c r="B29" s="5"/>
      <c r="C29" s="5"/>
      <c r="D29" s="5"/>
      <c r="E29" s="5"/>
      <c r="F29" s="5"/>
      <c r="G29" s="5"/>
      <c r="H29" s="5"/>
      <c r="I29" s="133"/>
    </row>
    <row r="30" spans="1:9" x14ac:dyDescent="0.2">
      <c r="A30" s="5" t="s">
        <v>27</v>
      </c>
      <c r="B30" s="5"/>
      <c r="C30" s="5"/>
      <c r="D30" s="5"/>
      <c r="E30" s="5"/>
      <c r="F30" s="5"/>
      <c r="G30" s="5"/>
      <c r="H30" s="5"/>
      <c r="I30" s="133"/>
    </row>
    <row r="31" spans="1:9" ht="26.25" customHeight="1" x14ac:dyDescent="0.2">
      <c r="A31" s="194">
        <v>1</v>
      </c>
      <c r="B31" s="312" t="s">
        <v>28</v>
      </c>
      <c r="C31" s="313"/>
      <c r="D31" s="194" t="s">
        <v>156</v>
      </c>
      <c r="E31" s="194" t="s">
        <v>29</v>
      </c>
      <c r="F31" s="16"/>
      <c r="G31" s="16"/>
      <c r="H31" s="137"/>
    </row>
    <row r="32" spans="1:9" x14ac:dyDescent="0.2">
      <c r="A32" s="196" t="s">
        <v>4</v>
      </c>
      <c r="B32" s="308" t="s">
        <v>30</v>
      </c>
      <c r="C32" s="311"/>
      <c r="D32" s="10" t="s">
        <v>127</v>
      </c>
      <c r="E32" s="34">
        <f>E25</f>
        <v>0</v>
      </c>
      <c r="F32" s="14"/>
      <c r="G32" s="14"/>
      <c r="H32" s="137"/>
    </row>
    <row r="33" spans="1:9" ht="15" customHeight="1" x14ac:dyDescent="0.2">
      <c r="A33" s="196" t="s">
        <v>6</v>
      </c>
      <c r="B33" s="308" t="s">
        <v>31</v>
      </c>
      <c r="C33" s="311"/>
      <c r="D33" s="36">
        <v>0</v>
      </c>
      <c r="E33" s="34">
        <f t="shared" ref="E33:E38" si="0">$E$32*D33</f>
        <v>0</v>
      </c>
      <c r="F33" s="14"/>
      <c r="G33" s="14"/>
      <c r="H33" s="137"/>
    </row>
    <row r="34" spans="1:9" ht="15" customHeight="1" x14ac:dyDescent="0.2">
      <c r="A34" s="196" t="s">
        <v>8</v>
      </c>
      <c r="B34" s="308" t="s">
        <v>32</v>
      </c>
      <c r="C34" s="311"/>
      <c r="D34" s="36">
        <v>0</v>
      </c>
      <c r="E34" s="34">
        <f t="shared" si="0"/>
        <v>0</v>
      </c>
      <c r="F34" s="14"/>
      <c r="G34" s="14"/>
      <c r="H34" s="137"/>
    </row>
    <row r="35" spans="1:9" x14ac:dyDescent="0.2">
      <c r="A35" s="196" t="s">
        <v>10</v>
      </c>
      <c r="B35" s="308" t="s">
        <v>33</v>
      </c>
      <c r="C35" s="311"/>
      <c r="D35" s="36">
        <v>0</v>
      </c>
      <c r="E35" s="34">
        <f t="shared" si="0"/>
        <v>0</v>
      </c>
      <c r="F35" s="14"/>
      <c r="G35" s="14"/>
      <c r="H35" s="137"/>
    </row>
    <row r="36" spans="1:9" ht="15" customHeight="1" x14ac:dyDescent="0.2">
      <c r="A36" s="196" t="s">
        <v>34</v>
      </c>
      <c r="B36" s="308" t="s">
        <v>35</v>
      </c>
      <c r="C36" s="311"/>
      <c r="D36" s="36">
        <v>0</v>
      </c>
      <c r="E36" s="34">
        <f t="shared" si="0"/>
        <v>0</v>
      </c>
      <c r="F36" s="14"/>
      <c r="G36" s="14"/>
      <c r="H36" s="137"/>
    </row>
    <row r="37" spans="1:9" ht="23.25" customHeight="1" x14ac:dyDescent="0.2">
      <c r="A37" s="196" t="s">
        <v>36</v>
      </c>
      <c r="B37" s="308" t="s">
        <v>37</v>
      </c>
      <c r="C37" s="311"/>
      <c r="D37" s="36">
        <v>0</v>
      </c>
      <c r="E37" s="34">
        <f t="shared" si="0"/>
        <v>0</v>
      </c>
      <c r="F37" s="14"/>
      <c r="G37" s="14"/>
      <c r="H37" s="137"/>
    </row>
    <row r="38" spans="1:9" x14ac:dyDescent="0.2">
      <c r="A38" s="196" t="s">
        <v>38</v>
      </c>
      <c r="B38" s="308" t="s">
        <v>39</v>
      </c>
      <c r="C38" s="311"/>
      <c r="D38" s="36">
        <v>0</v>
      </c>
      <c r="E38" s="34">
        <f t="shared" si="0"/>
        <v>0</v>
      </c>
      <c r="F38" s="14"/>
      <c r="G38" s="14"/>
      <c r="H38" s="137"/>
    </row>
    <row r="39" spans="1:9" x14ac:dyDescent="0.2">
      <c r="A39" s="312" t="s">
        <v>40</v>
      </c>
      <c r="B39" s="313"/>
      <c r="C39" s="313"/>
      <c r="D39" s="27" t="s">
        <v>127</v>
      </c>
      <c r="E39" s="35">
        <f>SUM(E32:E38)</f>
        <v>0</v>
      </c>
      <c r="F39" s="15"/>
      <c r="G39" s="15"/>
      <c r="H39" s="15"/>
    </row>
    <row r="40" spans="1:9" ht="27" customHeight="1" x14ac:dyDescent="0.2">
      <c r="A40" s="328" t="str">
        <f>CONCATENATE("Nota: O Módulo 1 refere-se ao valor mensal devido ao empregado pela prestação do serviço no período de ",E14," meses.")</f>
        <v>Nota: O Módulo 1 refere-se ao valor mensal devido ao empregado pela prestação do serviço no período de  meses.</v>
      </c>
      <c r="B40" s="328"/>
      <c r="C40" s="328"/>
      <c r="D40" s="328"/>
      <c r="E40" s="328"/>
      <c r="F40" s="30"/>
      <c r="G40" s="30"/>
    </row>
    <row r="41" spans="1:9" x14ac:dyDescent="0.2">
      <c r="B41" s="5"/>
      <c r="C41" s="5"/>
      <c r="D41" s="5"/>
      <c r="E41" s="5"/>
      <c r="F41" s="5"/>
      <c r="G41" s="5"/>
      <c r="H41" s="5"/>
      <c r="I41" s="133"/>
    </row>
    <row r="42" spans="1:9" x14ac:dyDescent="0.2">
      <c r="A42" s="5" t="s">
        <v>41</v>
      </c>
      <c r="B42" s="5"/>
      <c r="C42" s="5"/>
      <c r="D42" s="5"/>
      <c r="E42" s="5"/>
      <c r="F42" s="5"/>
      <c r="G42" s="5"/>
      <c r="H42" s="5"/>
      <c r="I42" s="133"/>
    </row>
    <row r="43" spans="1:9" x14ac:dyDescent="0.2">
      <c r="A43" s="5" t="s">
        <v>42</v>
      </c>
      <c r="B43" s="5"/>
      <c r="C43" s="5"/>
      <c r="D43" s="5"/>
      <c r="E43" s="5"/>
      <c r="F43" s="5"/>
      <c r="G43" s="5"/>
      <c r="H43" s="5"/>
      <c r="I43" s="133"/>
    </row>
    <row r="44" spans="1:9" ht="51" x14ac:dyDescent="0.2">
      <c r="A44" s="188" t="s">
        <v>43</v>
      </c>
      <c r="B44" s="296" t="s">
        <v>44</v>
      </c>
      <c r="C44" s="296"/>
      <c r="D44" s="296"/>
      <c r="E44" s="188" t="s">
        <v>159</v>
      </c>
      <c r="F44" s="74"/>
      <c r="G44" s="16"/>
    </row>
    <row r="45" spans="1:9" ht="15" customHeight="1" x14ac:dyDescent="0.2">
      <c r="A45" s="196" t="s">
        <v>4</v>
      </c>
      <c r="B45" s="295" t="s">
        <v>45</v>
      </c>
      <c r="C45" s="295"/>
      <c r="D45" s="295"/>
      <c r="E45" s="34">
        <f>E39/12</f>
        <v>0</v>
      </c>
      <c r="F45" s="87" t="s">
        <v>239</v>
      </c>
      <c r="G45" s="14"/>
    </row>
    <row r="46" spans="1:9" ht="15" customHeight="1" x14ac:dyDescent="0.2">
      <c r="A46" s="196" t="s">
        <v>6</v>
      </c>
      <c r="B46" s="295" t="s">
        <v>46</v>
      </c>
      <c r="C46" s="295"/>
      <c r="D46" s="295"/>
      <c r="E46" s="34">
        <f>(E39/12)+((E39*1/3)/12)</f>
        <v>0</v>
      </c>
      <c r="F46" s="87" t="s">
        <v>240</v>
      </c>
      <c r="G46" s="14"/>
    </row>
    <row r="47" spans="1:9" x14ac:dyDescent="0.2">
      <c r="A47" s="299" t="s">
        <v>40</v>
      </c>
      <c r="B47" s="299"/>
      <c r="C47" s="299"/>
      <c r="D47" s="299"/>
      <c r="E47" s="35">
        <f>SUM(E45:E46)</f>
        <v>0</v>
      </c>
      <c r="F47" s="75"/>
      <c r="G47" s="15"/>
    </row>
    <row r="48" spans="1:9" s="139" customFormat="1" ht="31.5" customHeight="1" x14ac:dyDescent="0.2">
      <c r="A48" s="334" t="s">
        <v>205</v>
      </c>
      <c r="B48" s="334"/>
      <c r="C48" s="334"/>
      <c r="D48" s="334"/>
      <c r="E48" s="334"/>
      <c r="F48" s="334"/>
      <c r="G48" s="30"/>
      <c r="H48" s="115"/>
      <c r="I48" s="138"/>
    </row>
    <row r="49" spans="1:12" s="139" customFormat="1" ht="31.5" customHeight="1" x14ac:dyDescent="0.2">
      <c r="A49" s="315" t="s">
        <v>206</v>
      </c>
      <c r="B49" s="315"/>
      <c r="C49" s="315"/>
      <c r="D49" s="315"/>
      <c r="E49" s="315"/>
      <c r="F49" s="315"/>
      <c r="G49" s="30"/>
      <c r="H49" s="31"/>
      <c r="I49" s="138"/>
    </row>
    <row r="50" spans="1:12" x14ac:dyDescent="0.2">
      <c r="A50" s="2"/>
      <c r="B50" s="2"/>
      <c r="C50" s="2"/>
      <c r="D50" s="2"/>
      <c r="E50" s="2"/>
      <c r="F50" s="2"/>
      <c r="G50" s="2"/>
    </row>
    <row r="51" spans="1:12" x14ac:dyDescent="0.2">
      <c r="A51" s="5" t="s">
        <v>47</v>
      </c>
      <c r="B51" s="5"/>
      <c r="C51" s="5"/>
      <c r="D51" s="5"/>
      <c r="E51" s="5"/>
      <c r="F51" s="5"/>
      <c r="G51" s="5"/>
      <c r="H51" s="5"/>
      <c r="I51" s="133"/>
    </row>
    <row r="52" spans="1:12" ht="38.25" x14ac:dyDescent="0.2">
      <c r="A52" s="188" t="s">
        <v>48</v>
      </c>
      <c r="B52" s="296" t="s">
        <v>49</v>
      </c>
      <c r="C52" s="296"/>
      <c r="D52" s="188" t="s">
        <v>50</v>
      </c>
      <c r="E52" s="188" t="s">
        <v>157</v>
      </c>
      <c r="F52" s="188" t="s">
        <v>158</v>
      </c>
      <c r="G52" s="189"/>
    </row>
    <row r="53" spans="1:12" x14ac:dyDescent="0.2">
      <c r="A53" s="196" t="s">
        <v>4</v>
      </c>
      <c r="B53" s="295" t="s">
        <v>51</v>
      </c>
      <c r="C53" s="295"/>
      <c r="D53" s="29">
        <v>0.2</v>
      </c>
      <c r="E53" s="34">
        <f>(E39*D53)+(E47*D53)</f>
        <v>0</v>
      </c>
      <c r="F53" s="34">
        <f>(E39*D53)+(E47*D53)</f>
        <v>0</v>
      </c>
      <c r="G53" s="87" t="s">
        <v>231</v>
      </c>
    </row>
    <row r="54" spans="1:12" x14ac:dyDescent="0.2">
      <c r="A54" s="196" t="s">
        <v>6</v>
      </c>
      <c r="B54" s="295" t="s">
        <v>52</v>
      </c>
      <c r="C54" s="295"/>
      <c r="D54" s="29">
        <v>2.5000000000000001E-2</v>
      </c>
      <c r="E54" s="34">
        <f>(E39+E47)*D54</f>
        <v>0</v>
      </c>
      <c r="F54" s="34" t="s">
        <v>127</v>
      </c>
      <c r="G54" s="87" t="s">
        <v>232</v>
      </c>
    </row>
    <row r="55" spans="1:12" x14ac:dyDescent="0.2">
      <c r="A55" s="196" t="s">
        <v>8</v>
      </c>
      <c r="B55" s="295" t="s">
        <v>53</v>
      </c>
      <c r="C55" s="295"/>
      <c r="D55" s="92">
        <v>0.02</v>
      </c>
      <c r="E55" s="34">
        <f>(E47+E39)*D55</f>
        <v>0</v>
      </c>
      <c r="F55" s="34">
        <f>(E47+E39)*D55</f>
        <v>0</v>
      </c>
      <c r="G55" s="87" t="s">
        <v>233</v>
      </c>
      <c r="H55" s="140"/>
      <c r="I55" s="108"/>
      <c r="J55" s="108"/>
    </row>
    <row r="56" spans="1:12" x14ac:dyDescent="0.2">
      <c r="A56" s="196" t="s">
        <v>10</v>
      </c>
      <c r="B56" s="295" t="s">
        <v>54</v>
      </c>
      <c r="C56" s="295"/>
      <c r="D56" s="105">
        <v>1.4999999999999999E-2</v>
      </c>
      <c r="E56" s="34">
        <f>(E47+E39)*D56</f>
        <v>0</v>
      </c>
      <c r="F56" s="34" t="s">
        <v>127</v>
      </c>
      <c r="G56" s="87" t="s">
        <v>234</v>
      </c>
      <c r="H56" s="56"/>
    </row>
    <row r="57" spans="1:12" x14ac:dyDescent="0.2">
      <c r="A57" s="196" t="s">
        <v>34</v>
      </c>
      <c r="B57" s="295" t="s">
        <v>55</v>
      </c>
      <c r="C57" s="295"/>
      <c r="D57" s="29">
        <v>0.01</v>
      </c>
      <c r="E57" s="34">
        <f>(E39+E47)*D57</f>
        <v>0</v>
      </c>
      <c r="F57" s="34" t="s">
        <v>127</v>
      </c>
      <c r="G57" s="87" t="s">
        <v>235</v>
      </c>
      <c r="H57" s="56"/>
    </row>
    <row r="58" spans="1:12" x14ac:dyDescent="0.2">
      <c r="A58" s="196" t="s">
        <v>36</v>
      </c>
      <c r="B58" s="295" t="s">
        <v>56</v>
      </c>
      <c r="C58" s="295"/>
      <c r="D58" s="29">
        <v>6.0000000000000001E-3</v>
      </c>
      <c r="E58" s="34">
        <f>(E39+E47)*D58</f>
        <v>0</v>
      </c>
      <c r="F58" s="34" t="s">
        <v>127</v>
      </c>
      <c r="G58" s="87" t="s">
        <v>236</v>
      </c>
      <c r="H58" s="56"/>
    </row>
    <row r="59" spans="1:12" x14ac:dyDescent="0.2">
      <c r="A59" s="196" t="s">
        <v>38</v>
      </c>
      <c r="B59" s="295" t="s">
        <v>57</v>
      </c>
      <c r="C59" s="295"/>
      <c r="D59" s="29">
        <v>2E-3</v>
      </c>
      <c r="E59" s="34">
        <f>(E39+E47)*D59</f>
        <v>0</v>
      </c>
      <c r="F59" s="34" t="s">
        <v>127</v>
      </c>
      <c r="G59" s="87" t="s">
        <v>237</v>
      </c>
      <c r="H59" s="56"/>
    </row>
    <row r="60" spans="1:12" x14ac:dyDescent="0.2">
      <c r="A60" s="196" t="s">
        <v>58</v>
      </c>
      <c r="B60" s="295" t="s">
        <v>59</v>
      </c>
      <c r="C60" s="295"/>
      <c r="D60" s="29">
        <v>0.08</v>
      </c>
      <c r="E60" s="34">
        <f>(E39+E47)*D60</f>
        <v>0</v>
      </c>
      <c r="F60" s="34">
        <f>(E39+E47)*D60</f>
        <v>0</v>
      </c>
      <c r="G60" s="87" t="s">
        <v>238</v>
      </c>
      <c r="H60" s="56"/>
    </row>
    <row r="61" spans="1:12" x14ac:dyDescent="0.2">
      <c r="A61" s="299" t="s">
        <v>60</v>
      </c>
      <c r="B61" s="299"/>
      <c r="C61" s="299"/>
      <c r="D61" s="299"/>
      <c r="E61" s="38">
        <f>SUM(E53:E60)</f>
        <v>0</v>
      </c>
      <c r="F61" s="38">
        <f>SUM(F53:F60)</f>
        <v>0</v>
      </c>
      <c r="G61" s="76"/>
      <c r="H61" s="141"/>
      <c r="I61" s="142"/>
      <c r="J61" s="108"/>
      <c r="K61" s="143"/>
      <c r="L61" s="108"/>
    </row>
    <row r="62" spans="1:12" x14ac:dyDescent="0.2">
      <c r="A62" s="299" t="s">
        <v>161</v>
      </c>
      <c r="B62" s="299"/>
      <c r="C62" s="299"/>
      <c r="D62" s="299"/>
      <c r="E62" s="44" t="e">
        <f>E61/(E39+E47)</f>
        <v>#DIV/0!</v>
      </c>
      <c r="F62" s="44" t="e">
        <f>F61/(E39+E47)</f>
        <v>#DIV/0!</v>
      </c>
      <c r="G62" s="77"/>
      <c r="H62" s="108"/>
      <c r="I62" s="108"/>
      <c r="J62" s="108"/>
      <c r="K62" s="108"/>
      <c r="L62" s="108"/>
    </row>
    <row r="63" spans="1:12" x14ac:dyDescent="0.2">
      <c r="A63" s="23" t="s">
        <v>207</v>
      </c>
      <c r="B63" s="5"/>
      <c r="C63" s="5"/>
      <c r="D63" s="5"/>
      <c r="E63" s="5"/>
      <c r="F63" s="5"/>
      <c r="G63" s="5"/>
      <c r="H63" s="54"/>
      <c r="I63" s="144"/>
      <c r="J63" s="108"/>
      <c r="K63" s="108"/>
      <c r="L63" s="108"/>
    </row>
    <row r="64" spans="1:12" x14ac:dyDescent="0.2">
      <c r="A64" s="23" t="s">
        <v>208</v>
      </c>
      <c r="B64" s="5"/>
      <c r="C64" s="5"/>
      <c r="D64" s="5"/>
      <c r="E64" s="5"/>
      <c r="F64" s="5"/>
      <c r="G64" s="5"/>
      <c r="H64" s="5"/>
      <c r="I64" s="133"/>
    </row>
    <row r="65" spans="1:9" x14ac:dyDescent="0.2">
      <c r="A65" s="23" t="s">
        <v>209</v>
      </c>
      <c r="B65" s="5"/>
      <c r="C65" s="5"/>
      <c r="D65" s="5"/>
      <c r="E65" s="5"/>
      <c r="F65" s="5"/>
      <c r="G65" s="5"/>
      <c r="H65" s="5"/>
      <c r="I65" s="133"/>
    </row>
    <row r="66" spans="1:9" x14ac:dyDescent="0.2">
      <c r="A66" s="5"/>
      <c r="B66" s="5"/>
      <c r="C66" s="5"/>
      <c r="D66" s="5"/>
      <c r="E66" s="5"/>
      <c r="F66" s="5"/>
      <c r="G66" s="5"/>
      <c r="H66" s="5"/>
      <c r="I66" s="133"/>
    </row>
    <row r="67" spans="1:9" x14ac:dyDescent="0.2">
      <c r="A67" s="5" t="s">
        <v>61</v>
      </c>
      <c r="B67" s="5"/>
      <c r="C67" s="5"/>
      <c r="D67" s="5"/>
      <c r="E67" s="5"/>
      <c r="F67" s="5"/>
      <c r="G67" s="5"/>
      <c r="H67" s="5"/>
      <c r="I67" s="133"/>
    </row>
    <row r="68" spans="1:9" x14ac:dyDescent="0.2">
      <c r="A68" s="188" t="s">
        <v>62</v>
      </c>
      <c r="B68" s="296" t="s">
        <v>63</v>
      </c>
      <c r="C68" s="296"/>
      <c r="D68" s="296"/>
      <c r="E68" s="188" t="s">
        <v>29</v>
      </c>
      <c r="F68" s="39"/>
      <c r="G68" s="16"/>
    </row>
    <row r="69" spans="1:9" x14ac:dyDescent="0.2">
      <c r="A69" s="196" t="s">
        <v>4</v>
      </c>
      <c r="B69" s="308" t="s">
        <v>64</v>
      </c>
      <c r="C69" s="311"/>
      <c r="D69" s="309"/>
      <c r="E69" s="91">
        <f>'2.3-Transporte'!B9</f>
        <v>0</v>
      </c>
      <c r="F69" s="87" t="s">
        <v>220</v>
      </c>
      <c r="G69" s="14"/>
    </row>
    <row r="70" spans="1:9" ht="15.75" customHeight="1" x14ac:dyDescent="0.2">
      <c r="A70" s="196" t="s">
        <v>6</v>
      </c>
      <c r="B70" s="308" t="s">
        <v>65</v>
      </c>
      <c r="C70" s="311"/>
      <c r="D70" s="309"/>
      <c r="E70" s="91">
        <f>'2.3-Aux. Refeição-Alimentação'!B6</f>
        <v>0</v>
      </c>
      <c r="F70" s="87" t="s">
        <v>250</v>
      </c>
      <c r="G70" s="14"/>
    </row>
    <row r="71" spans="1:9" ht="15.75" customHeight="1" x14ac:dyDescent="0.2">
      <c r="A71" s="196" t="s">
        <v>8</v>
      </c>
      <c r="B71" s="308" t="s">
        <v>66</v>
      </c>
      <c r="C71" s="311"/>
      <c r="D71" s="309"/>
      <c r="E71" s="91">
        <v>0</v>
      </c>
      <c r="F71" s="87" t="s">
        <v>226</v>
      </c>
      <c r="G71" s="14"/>
    </row>
    <row r="72" spans="1:9" ht="29.25" customHeight="1" x14ac:dyDescent="0.2">
      <c r="A72" s="196" t="s">
        <v>10</v>
      </c>
      <c r="B72" s="308" t="s">
        <v>246</v>
      </c>
      <c r="C72" s="311"/>
      <c r="D72" s="309"/>
      <c r="E72" s="91"/>
      <c r="F72" s="87"/>
      <c r="G72" s="14"/>
    </row>
    <row r="73" spans="1:9" x14ac:dyDescent="0.2">
      <c r="A73" s="196" t="s">
        <v>34</v>
      </c>
      <c r="B73" s="308" t="s">
        <v>247</v>
      </c>
      <c r="C73" s="311"/>
      <c r="D73" s="309"/>
      <c r="E73" s="91"/>
      <c r="F73" s="104" t="s">
        <v>230</v>
      </c>
      <c r="G73" s="14"/>
    </row>
    <row r="74" spans="1:9" ht="27" customHeight="1" x14ac:dyDescent="0.2">
      <c r="A74" s="196" t="s">
        <v>36</v>
      </c>
      <c r="B74" s="308" t="s">
        <v>263</v>
      </c>
      <c r="C74" s="311"/>
      <c r="D74" s="309"/>
      <c r="E74" s="91" t="e">
        <f>'2.3-Transporte'!B16</f>
        <v>#DIV/0!</v>
      </c>
      <c r="F74" s="87"/>
      <c r="G74" s="14"/>
    </row>
    <row r="75" spans="1:9" ht="17.25" customHeight="1" x14ac:dyDescent="0.2">
      <c r="A75" s="299" t="s">
        <v>40</v>
      </c>
      <c r="B75" s="299"/>
      <c r="C75" s="299"/>
      <c r="D75" s="299"/>
      <c r="E75" s="35" t="e">
        <f>SUM(E69:E74)</f>
        <v>#DIV/0!</v>
      </c>
      <c r="F75" s="15"/>
      <c r="G75" s="15"/>
    </row>
    <row r="76" spans="1:9" x14ac:dyDescent="0.2">
      <c r="A76" s="23" t="s">
        <v>210</v>
      </c>
      <c r="B76" s="23"/>
      <c r="C76" s="23"/>
      <c r="D76" s="23"/>
      <c r="E76" s="23"/>
      <c r="F76" s="23"/>
      <c r="G76" s="23"/>
      <c r="H76" s="5"/>
      <c r="I76" s="133"/>
    </row>
    <row r="77" spans="1:9" ht="26.25" customHeight="1" x14ac:dyDescent="0.2">
      <c r="A77" s="315" t="s">
        <v>211</v>
      </c>
      <c r="B77" s="315"/>
      <c r="C77" s="315"/>
      <c r="D77" s="315"/>
      <c r="E77" s="315"/>
      <c r="F77" s="315"/>
      <c r="G77" s="315"/>
      <c r="H77" s="5"/>
      <c r="I77" s="133"/>
    </row>
    <row r="78" spans="1:9" x14ac:dyDescent="0.2">
      <c r="A78" s="5"/>
      <c r="B78" s="5"/>
      <c r="C78" s="5"/>
      <c r="D78" s="5"/>
      <c r="E78" s="5"/>
      <c r="F78" s="5"/>
      <c r="G78" s="5"/>
      <c r="H78" s="5"/>
      <c r="I78" s="133"/>
    </row>
    <row r="79" spans="1:9" x14ac:dyDescent="0.2">
      <c r="A79" s="5" t="s">
        <v>67</v>
      </c>
      <c r="B79" s="5"/>
      <c r="C79" s="5"/>
      <c r="D79" s="5"/>
      <c r="E79" s="5"/>
      <c r="F79" s="5"/>
      <c r="G79" s="78"/>
      <c r="H79" s="5"/>
      <c r="I79" s="133"/>
    </row>
    <row r="80" spans="1:9" ht="38.25" x14ac:dyDescent="0.2">
      <c r="A80" s="188">
        <v>2</v>
      </c>
      <c r="B80" s="296" t="s">
        <v>68</v>
      </c>
      <c r="C80" s="296"/>
      <c r="D80" s="296"/>
      <c r="E80" s="188" t="s">
        <v>157</v>
      </c>
      <c r="F80" s="188" t="s">
        <v>158</v>
      </c>
      <c r="G80" s="189"/>
    </row>
    <row r="81" spans="1:22" x14ac:dyDescent="0.2">
      <c r="A81" s="196" t="s">
        <v>43</v>
      </c>
      <c r="B81" s="295" t="s">
        <v>44</v>
      </c>
      <c r="C81" s="295"/>
      <c r="D81" s="295"/>
      <c r="E81" s="37">
        <f>E47</f>
        <v>0</v>
      </c>
      <c r="F81" s="37">
        <f>E47</f>
        <v>0</v>
      </c>
      <c r="G81" s="79"/>
    </row>
    <row r="82" spans="1:22" x14ac:dyDescent="0.2">
      <c r="A82" s="196" t="s">
        <v>48</v>
      </c>
      <c r="B82" s="295" t="s">
        <v>49</v>
      </c>
      <c r="C82" s="295"/>
      <c r="D82" s="295"/>
      <c r="E82" s="37">
        <f>E61</f>
        <v>0</v>
      </c>
      <c r="F82" s="37">
        <f>F61</f>
        <v>0</v>
      </c>
      <c r="G82" s="79"/>
    </row>
    <row r="83" spans="1:22" x14ac:dyDescent="0.2">
      <c r="A83" s="196" t="s">
        <v>62</v>
      </c>
      <c r="B83" s="295" t="s">
        <v>63</v>
      </c>
      <c r="C83" s="295"/>
      <c r="D83" s="295"/>
      <c r="E83" s="37" t="e">
        <f>E75</f>
        <v>#DIV/0!</v>
      </c>
      <c r="F83" s="37" t="e">
        <f>E75</f>
        <v>#DIV/0!</v>
      </c>
      <c r="G83" s="79"/>
    </row>
    <row r="84" spans="1:22" x14ac:dyDescent="0.2">
      <c r="A84" s="312" t="s">
        <v>40</v>
      </c>
      <c r="B84" s="313"/>
      <c r="C84" s="313"/>
      <c r="D84" s="314"/>
      <c r="E84" s="38" t="e">
        <f>SUM(E81:E83)</f>
        <v>#DIV/0!</v>
      </c>
      <c r="F84" s="38" t="e">
        <f>SUM(F81:F83)</f>
        <v>#DIV/0!</v>
      </c>
      <c r="G84" s="113"/>
    </row>
    <row r="85" spans="1:22" x14ac:dyDescent="0.2">
      <c r="A85" s="3"/>
      <c r="B85" s="3"/>
      <c r="C85" s="3"/>
      <c r="D85" s="3"/>
      <c r="E85" s="3"/>
      <c r="F85" s="3"/>
      <c r="G85" s="3"/>
    </row>
    <row r="86" spans="1:22" x14ac:dyDescent="0.2">
      <c r="A86" s="107" t="s">
        <v>69</v>
      </c>
      <c r="B86" s="106"/>
      <c r="C86" s="106"/>
      <c r="D86" s="106"/>
      <c r="E86" s="106"/>
      <c r="F86" s="106"/>
      <c r="G86" s="5"/>
      <c r="H86" s="5"/>
      <c r="I86" s="133"/>
    </row>
    <row r="87" spans="1:22" ht="38.25" x14ac:dyDescent="0.2">
      <c r="A87" s="188">
        <v>3</v>
      </c>
      <c r="B87" s="296" t="s">
        <v>70</v>
      </c>
      <c r="C87" s="296"/>
      <c r="D87" s="296"/>
      <c r="E87" s="188" t="s">
        <v>157</v>
      </c>
      <c r="F87" s="188" t="s">
        <v>158</v>
      </c>
      <c r="G87" s="189"/>
      <c r="H87" s="16"/>
    </row>
    <row r="88" spans="1:22" s="139" customFormat="1" x14ac:dyDescent="0.2">
      <c r="A88" s="48" t="s">
        <v>4</v>
      </c>
      <c r="B88" s="347" t="s">
        <v>71</v>
      </c>
      <c r="C88" s="347"/>
      <c r="D88" s="347"/>
      <c r="E88" s="91">
        <f>(E39/12)*5%</f>
        <v>0</v>
      </c>
      <c r="F88" s="91">
        <f>(E39/12)*5%</f>
        <v>0</v>
      </c>
      <c r="G88" s="45" t="s">
        <v>241</v>
      </c>
      <c r="H88" s="45"/>
      <c r="I88" s="145"/>
      <c r="J88" s="145"/>
      <c r="K88" s="145"/>
      <c r="L88" s="145"/>
      <c r="M88" s="145"/>
      <c r="N88" s="145"/>
    </row>
    <row r="89" spans="1:22" s="139" customFormat="1" x14ac:dyDescent="0.2">
      <c r="A89" s="48" t="s">
        <v>6</v>
      </c>
      <c r="B89" s="347" t="s">
        <v>72</v>
      </c>
      <c r="C89" s="347"/>
      <c r="D89" s="347"/>
      <c r="E89" s="91">
        <f>E88*8%</f>
        <v>0</v>
      </c>
      <c r="F89" s="91">
        <f>F88*8%</f>
        <v>0</v>
      </c>
      <c r="G89" s="45" t="s">
        <v>160</v>
      </c>
      <c r="H89" s="45"/>
    </row>
    <row r="90" spans="1:22" s="139" customFormat="1" ht="27" customHeight="1" x14ac:dyDescent="0.2">
      <c r="A90" s="269" t="s">
        <v>8</v>
      </c>
      <c r="B90" s="295" t="s">
        <v>73</v>
      </c>
      <c r="C90" s="295"/>
      <c r="D90" s="295"/>
      <c r="E90" s="91">
        <f>E91+E92</f>
        <v>0</v>
      </c>
      <c r="F90" s="91">
        <f>F91+F92</f>
        <v>0</v>
      </c>
      <c r="G90" s="340" t="s">
        <v>249</v>
      </c>
      <c r="H90" s="341"/>
      <c r="I90" s="341"/>
      <c r="J90" s="341"/>
      <c r="K90" s="341"/>
      <c r="L90" s="341"/>
      <c r="M90" s="341"/>
      <c r="N90" s="341"/>
      <c r="O90" s="341"/>
      <c r="P90" s="341"/>
      <c r="Q90" s="341"/>
      <c r="R90" s="341"/>
      <c r="S90" s="341"/>
      <c r="T90" s="341"/>
      <c r="U90" s="341"/>
      <c r="V90" s="341"/>
    </row>
    <row r="91" spans="1:22" s="139" customFormat="1" x14ac:dyDescent="0.2">
      <c r="A91" s="270"/>
      <c r="B91" s="335" t="s">
        <v>162</v>
      </c>
      <c r="C91" s="336"/>
      <c r="D91" s="337"/>
      <c r="E91" s="146">
        <f>(((E39+E45+E46)*40%)*8%)*0%</f>
        <v>0</v>
      </c>
      <c r="F91" s="146">
        <f>(((E39+E45+E46)*40%)*8%)*0%</f>
        <v>0</v>
      </c>
      <c r="G91" s="45"/>
      <c r="H91" s="45"/>
    </row>
    <row r="92" spans="1:22" s="139" customFormat="1" ht="15" customHeight="1" x14ac:dyDescent="0.2">
      <c r="A92" s="271"/>
      <c r="B92" s="335" t="s">
        <v>163</v>
      </c>
      <c r="C92" s="336"/>
      <c r="D92" s="337"/>
      <c r="E92" s="146">
        <f>(((E39+E45+E46)*10%)*8%)*0%</f>
        <v>0</v>
      </c>
      <c r="F92" s="146">
        <f>(((E39+E45+E46)*10%)*8%)*0%</f>
        <v>0</v>
      </c>
      <c r="G92" s="45"/>
      <c r="H92" s="45"/>
    </row>
    <row r="93" spans="1:22" s="139" customFormat="1" x14ac:dyDescent="0.2">
      <c r="A93" s="196" t="s">
        <v>10</v>
      </c>
      <c r="B93" s="295" t="s">
        <v>74</v>
      </c>
      <c r="C93" s="295"/>
      <c r="D93" s="295"/>
      <c r="E93" s="34">
        <f>(((E39/30)/12)*7)*100%</f>
        <v>0</v>
      </c>
      <c r="F93" s="34">
        <f>(((E39/30)/12)*7)*100%</f>
        <v>0</v>
      </c>
      <c r="G93" s="45" t="s">
        <v>251</v>
      </c>
      <c r="H93" s="45"/>
    </row>
    <row r="94" spans="1:22" s="139" customFormat="1" ht="29.25" customHeight="1" x14ac:dyDescent="0.2">
      <c r="A94" s="192" t="s">
        <v>34</v>
      </c>
      <c r="B94" s="348" t="s">
        <v>75</v>
      </c>
      <c r="C94" s="348"/>
      <c r="D94" s="348"/>
      <c r="E94" s="34" t="e">
        <f>E93*E62</f>
        <v>#DIV/0!</v>
      </c>
      <c r="F94" s="34" t="e">
        <f>F93*F62</f>
        <v>#DIV/0!</v>
      </c>
      <c r="G94" s="45" t="s">
        <v>227</v>
      </c>
      <c r="H94" s="195"/>
    </row>
    <row r="95" spans="1:22" s="139" customFormat="1" ht="29.25" customHeight="1" x14ac:dyDescent="0.2">
      <c r="A95" s="41" t="s">
        <v>36</v>
      </c>
      <c r="B95" s="295" t="s">
        <v>76</v>
      </c>
      <c r="C95" s="295"/>
      <c r="D95" s="295"/>
      <c r="E95" s="40">
        <f>SUM(E96:E97)</f>
        <v>0</v>
      </c>
      <c r="F95" s="34">
        <f>SUM(F96:F97)</f>
        <v>0</v>
      </c>
      <c r="G95" s="45" t="s">
        <v>228</v>
      </c>
      <c r="H95" s="195"/>
    </row>
    <row r="96" spans="1:22" s="139" customFormat="1" x14ac:dyDescent="0.2">
      <c r="A96" s="42"/>
      <c r="B96" s="342" t="s">
        <v>162</v>
      </c>
      <c r="C96" s="342"/>
      <c r="D96" s="342"/>
      <c r="E96" s="146">
        <f>(((E39+E45+E46)*40%)*8%)*100%</f>
        <v>0</v>
      </c>
      <c r="F96" s="147">
        <f>(((E39+E45+E46)*40%)*8%)*100%</f>
        <v>0</v>
      </c>
      <c r="G96" s="45" t="s">
        <v>164</v>
      </c>
      <c r="H96" s="45"/>
    </row>
    <row r="97" spans="1:27" s="139" customFormat="1" x14ac:dyDescent="0.2">
      <c r="A97" s="43"/>
      <c r="B97" s="342" t="s">
        <v>163</v>
      </c>
      <c r="C97" s="342"/>
      <c r="D97" s="342"/>
      <c r="E97" s="146">
        <f>(((E39+E45+E46)*10%)*8%)*100%</f>
        <v>0</v>
      </c>
      <c r="F97" s="147">
        <f>(((E39+E45+E46)*10%)*8%)*100%</f>
        <v>0</v>
      </c>
      <c r="G97" s="45" t="s">
        <v>229</v>
      </c>
      <c r="H97" s="14"/>
    </row>
    <row r="98" spans="1:27" x14ac:dyDescent="0.2">
      <c r="A98" s="320" t="s">
        <v>40</v>
      </c>
      <c r="B98" s="349"/>
      <c r="C98" s="349"/>
      <c r="D98" s="321"/>
      <c r="E98" s="35" t="e">
        <f>SUM(E88,E89,E90,E93,E94,E95)</f>
        <v>#DIV/0!</v>
      </c>
      <c r="F98" s="35" t="e">
        <f>SUM(F88,F89,F90,F93,F94,F95)</f>
        <v>#DIV/0!</v>
      </c>
      <c r="G98" s="76"/>
      <c r="H98" s="15"/>
    </row>
    <row r="99" spans="1:27" x14ac:dyDescent="0.2">
      <c r="A99" s="2"/>
      <c r="B99" s="2"/>
      <c r="C99" s="2"/>
      <c r="D99" s="2"/>
      <c r="E99" s="2"/>
      <c r="F99" s="2"/>
      <c r="G99" s="2"/>
    </row>
    <row r="100" spans="1:27" x14ac:dyDescent="0.2">
      <c r="A100" s="6" t="s">
        <v>77</v>
      </c>
      <c r="B100" s="6"/>
      <c r="C100" s="6"/>
      <c r="D100" s="6"/>
      <c r="E100" s="117"/>
      <c r="F100" s="6"/>
      <c r="G100" s="6"/>
      <c r="H100" s="5"/>
      <c r="I100" s="133"/>
    </row>
    <row r="101" spans="1:27" ht="8.25" customHeight="1" x14ac:dyDescent="0.2">
      <c r="A101" s="5"/>
      <c r="B101" s="5"/>
      <c r="C101" s="5"/>
      <c r="D101" s="5"/>
      <c r="E101" s="5"/>
      <c r="F101" s="5"/>
      <c r="G101" s="5"/>
      <c r="H101" s="5"/>
      <c r="I101" s="133"/>
    </row>
    <row r="102" spans="1:27" s="139" customFormat="1" ht="41.25" customHeight="1" x14ac:dyDescent="0.2">
      <c r="A102" s="315" t="s">
        <v>212</v>
      </c>
      <c r="B102" s="315"/>
      <c r="C102" s="315"/>
      <c r="D102" s="315"/>
      <c r="E102" s="315"/>
      <c r="F102" s="315"/>
      <c r="G102" s="315"/>
      <c r="H102" s="31"/>
      <c r="I102" s="138"/>
    </row>
    <row r="103" spans="1:27" s="139" customFormat="1" x14ac:dyDescent="0.2">
      <c r="A103" s="315" t="s">
        <v>213</v>
      </c>
      <c r="B103" s="315"/>
      <c r="C103" s="315"/>
      <c r="D103" s="315"/>
      <c r="E103" s="315"/>
      <c r="F103" s="315"/>
      <c r="G103" s="315"/>
      <c r="H103" s="31"/>
      <c r="I103" s="138"/>
    </row>
    <row r="104" spans="1:27" x14ac:dyDescent="0.2">
      <c r="A104" s="5"/>
      <c r="B104" s="5"/>
      <c r="C104" s="5"/>
      <c r="D104" s="5"/>
      <c r="E104" s="5"/>
      <c r="F104" s="5"/>
      <c r="G104" s="5"/>
      <c r="H104" s="5"/>
      <c r="I104" s="133"/>
    </row>
    <row r="105" spans="1:27" x14ac:dyDescent="0.2">
      <c r="A105" s="5" t="s">
        <v>78</v>
      </c>
      <c r="B105" s="5"/>
      <c r="C105" s="5"/>
      <c r="D105" s="5"/>
      <c r="E105" s="5"/>
      <c r="F105" s="5"/>
      <c r="G105" s="5"/>
      <c r="H105" s="116"/>
      <c r="I105" s="133"/>
    </row>
    <row r="106" spans="1:27" ht="38.25" x14ac:dyDescent="0.2">
      <c r="A106" s="194" t="s">
        <v>79</v>
      </c>
      <c r="B106" s="299" t="s">
        <v>80</v>
      </c>
      <c r="C106" s="299"/>
      <c r="D106" s="299"/>
      <c r="E106" s="188" t="s">
        <v>157</v>
      </c>
      <c r="F106" s="188" t="s">
        <v>158</v>
      </c>
      <c r="G106" s="189"/>
      <c r="H106" s="114"/>
    </row>
    <row r="107" spans="1:27" ht="74.25" customHeight="1" x14ac:dyDescent="0.2">
      <c r="A107" s="196" t="s">
        <v>4</v>
      </c>
      <c r="B107" s="295" t="s">
        <v>81</v>
      </c>
      <c r="C107" s="295"/>
      <c r="D107" s="295"/>
      <c r="E107" s="132">
        <v>0</v>
      </c>
      <c r="F107" s="132">
        <v>0</v>
      </c>
      <c r="G107" s="338" t="s">
        <v>252</v>
      </c>
      <c r="H107" s="339"/>
      <c r="I107" s="339"/>
      <c r="J107" s="339"/>
      <c r="K107" s="339"/>
      <c r="L107" s="339"/>
      <c r="M107" s="339"/>
      <c r="N107" s="339"/>
      <c r="O107" s="339"/>
      <c r="P107" s="339"/>
      <c r="Q107" s="339"/>
      <c r="R107" s="339"/>
      <c r="S107" s="339"/>
      <c r="T107" s="339"/>
      <c r="U107" s="339"/>
      <c r="V107" s="339"/>
      <c r="W107" s="339"/>
      <c r="X107" s="339"/>
      <c r="Y107" s="339"/>
      <c r="Z107" s="339"/>
      <c r="AA107" s="339"/>
    </row>
    <row r="108" spans="1:27" x14ac:dyDescent="0.2">
      <c r="A108" s="196" t="s">
        <v>6</v>
      </c>
      <c r="B108" s="295" t="s">
        <v>80</v>
      </c>
      <c r="C108" s="295"/>
      <c r="D108" s="295"/>
      <c r="E108" s="34">
        <f>((E39/30)/12)*1</f>
        <v>0</v>
      </c>
      <c r="F108" s="34">
        <f>((E39/30)/12)*1</f>
        <v>0</v>
      </c>
      <c r="G108" s="45" t="s">
        <v>180</v>
      </c>
      <c r="H108" s="45"/>
    </row>
    <row r="109" spans="1:27" x14ac:dyDescent="0.2">
      <c r="A109" s="196" t="s">
        <v>8</v>
      </c>
      <c r="B109" s="295" t="s">
        <v>82</v>
      </c>
      <c r="C109" s="295"/>
      <c r="D109" s="295"/>
      <c r="E109" s="34">
        <f>(((E39/30)/12*5)*1.5%)</f>
        <v>0</v>
      </c>
      <c r="F109" s="34">
        <f>(((E39/30)/12*5)*1.5%)</f>
        <v>0</v>
      </c>
      <c r="G109" s="45" t="s">
        <v>181</v>
      </c>
      <c r="H109" s="45"/>
    </row>
    <row r="110" spans="1:27" ht="15" customHeight="1" x14ac:dyDescent="0.2">
      <c r="A110" s="196" t="s">
        <v>10</v>
      </c>
      <c r="B110" s="295" t="s">
        <v>83</v>
      </c>
      <c r="C110" s="295"/>
      <c r="D110" s="295"/>
      <c r="E110" s="34">
        <f>(((E39/30)/12)*15)*8%</f>
        <v>0</v>
      </c>
      <c r="F110" s="34">
        <f>(((E39/30)/12)*15)*8%</f>
        <v>0</v>
      </c>
      <c r="G110" s="45" t="s">
        <v>165</v>
      </c>
      <c r="H110" s="45"/>
    </row>
    <row r="111" spans="1:27" ht="15" customHeight="1" x14ac:dyDescent="0.2">
      <c r="A111" s="196" t="s">
        <v>34</v>
      </c>
      <c r="B111" s="295" t="s">
        <v>84</v>
      </c>
      <c r="C111" s="295"/>
      <c r="D111" s="295"/>
      <c r="E111" s="34" t="s">
        <v>127</v>
      </c>
      <c r="F111" s="34" t="s">
        <v>127</v>
      </c>
      <c r="G111" s="45" t="s">
        <v>168</v>
      </c>
      <c r="H111" s="45"/>
    </row>
    <row r="112" spans="1:27" x14ac:dyDescent="0.2">
      <c r="A112" s="196" t="s">
        <v>36</v>
      </c>
      <c r="B112" s="295" t="s">
        <v>39</v>
      </c>
      <c r="C112" s="295"/>
      <c r="D112" s="295"/>
      <c r="E112" s="34">
        <f>(((E39/30)/12)*5*40%)</f>
        <v>0</v>
      </c>
      <c r="F112" s="34">
        <f>(((E39/30)/12)*5*40%)</f>
        <v>0</v>
      </c>
      <c r="G112" s="46" t="s">
        <v>182</v>
      </c>
      <c r="H112" s="46"/>
    </row>
    <row r="113" spans="1:9" ht="26.25" customHeight="1" x14ac:dyDescent="0.2">
      <c r="A113" s="196" t="s">
        <v>38</v>
      </c>
      <c r="B113" s="295" t="s">
        <v>166</v>
      </c>
      <c r="C113" s="295"/>
      <c r="D113" s="295"/>
      <c r="E113" s="34" t="e">
        <f>(E108+E109+E110+E112)*E62</f>
        <v>#DIV/0!</v>
      </c>
      <c r="F113" s="34" t="e">
        <f>(F108+F109+F110+F112)*F62</f>
        <v>#DIV/0!</v>
      </c>
      <c r="G113" s="45" t="s">
        <v>167</v>
      </c>
      <c r="H113" s="45"/>
    </row>
    <row r="114" spans="1:9" x14ac:dyDescent="0.2">
      <c r="A114" s="299" t="s">
        <v>40</v>
      </c>
      <c r="B114" s="299"/>
      <c r="C114" s="299"/>
      <c r="D114" s="299"/>
      <c r="E114" s="35" t="e">
        <f>SUM(E107:E113)</f>
        <v>#DIV/0!</v>
      </c>
      <c r="F114" s="35" t="e">
        <f>SUM(F107:F113)</f>
        <v>#DIV/0!</v>
      </c>
      <c r="G114" s="76"/>
      <c r="H114" s="15"/>
    </row>
    <row r="115" spans="1:9" ht="31.5" customHeight="1" x14ac:dyDescent="0.2">
      <c r="A115" s="315" t="s">
        <v>214</v>
      </c>
      <c r="B115" s="315"/>
      <c r="C115" s="315"/>
      <c r="D115" s="315"/>
      <c r="E115" s="315"/>
      <c r="F115" s="315"/>
      <c r="G115" s="315"/>
    </row>
    <row r="116" spans="1:9" x14ac:dyDescent="0.2">
      <c r="B116" s="5"/>
      <c r="C116" s="5"/>
      <c r="D116" s="5"/>
      <c r="E116" s="5"/>
      <c r="F116" s="5"/>
      <c r="G116" s="5"/>
      <c r="H116" s="39"/>
      <c r="I116" s="133"/>
    </row>
    <row r="117" spans="1:9" s="108" customFormat="1" x14ac:dyDescent="0.2">
      <c r="A117" s="54" t="s">
        <v>170</v>
      </c>
      <c r="B117" s="54"/>
      <c r="C117" s="54"/>
      <c r="D117" s="54"/>
      <c r="E117" s="54"/>
      <c r="F117" s="54"/>
      <c r="G117" s="54"/>
      <c r="H117" s="39"/>
      <c r="I117" s="144"/>
    </row>
    <row r="118" spans="1:9" ht="38.25" x14ac:dyDescent="0.2">
      <c r="A118" s="194" t="s">
        <v>174</v>
      </c>
      <c r="B118" s="299" t="s">
        <v>175</v>
      </c>
      <c r="C118" s="299"/>
      <c r="D118" s="299"/>
      <c r="E118" s="188" t="s">
        <v>157</v>
      </c>
      <c r="F118" s="188" t="s">
        <v>158</v>
      </c>
      <c r="G118" s="189"/>
      <c r="H118" s="39"/>
      <c r="I118" s="133"/>
    </row>
    <row r="119" spans="1:9" x14ac:dyDescent="0.2">
      <c r="A119" s="196" t="s">
        <v>4</v>
      </c>
      <c r="B119" s="295" t="s">
        <v>169</v>
      </c>
      <c r="C119" s="295"/>
      <c r="D119" s="295"/>
      <c r="E119" s="34">
        <f>(((E39+(E39*1/3))*(4/12))/12)*2%</f>
        <v>0</v>
      </c>
      <c r="F119" s="34">
        <f>(((E39+(E39*1/3))*(4/12))/12)*2%</f>
        <v>0</v>
      </c>
      <c r="G119" s="45" t="s">
        <v>178</v>
      </c>
      <c r="H119" s="45"/>
      <c r="I119" s="133"/>
    </row>
    <row r="120" spans="1:9" ht="26.25" customHeight="1" x14ac:dyDescent="0.2">
      <c r="A120" s="196" t="s">
        <v>6</v>
      </c>
      <c r="B120" s="295" t="s">
        <v>171</v>
      </c>
      <c r="C120" s="295"/>
      <c r="D120" s="295"/>
      <c r="E120" s="34" t="e">
        <f>E119*E62</f>
        <v>#DIV/0!</v>
      </c>
      <c r="F120" s="34" t="e">
        <f>F119*F62</f>
        <v>#DIV/0!</v>
      </c>
      <c r="G120" s="45" t="s">
        <v>176</v>
      </c>
      <c r="H120" s="45"/>
      <c r="I120" s="133"/>
    </row>
    <row r="121" spans="1:9" ht="44.25" customHeight="1" x14ac:dyDescent="0.2">
      <c r="A121" s="196" t="s">
        <v>8</v>
      </c>
      <c r="B121" s="295" t="s">
        <v>172</v>
      </c>
      <c r="C121" s="295"/>
      <c r="D121" s="295"/>
      <c r="E121" s="34" t="e">
        <f>(((E39+E45)*(4/12))*2%)*E62</f>
        <v>#DIV/0!</v>
      </c>
      <c r="F121" s="34" t="e">
        <f>(((E39+E45)*(4/12))*2%)*F62</f>
        <v>#DIV/0!</v>
      </c>
      <c r="G121" s="45" t="s">
        <v>179</v>
      </c>
      <c r="H121" s="45"/>
      <c r="I121" s="133"/>
    </row>
    <row r="122" spans="1:9" x14ac:dyDescent="0.2">
      <c r="A122" s="196" t="s">
        <v>10</v>
      </c>
      <c r="B122" s="295" t="s">
        <v>173</v>
      </c>
      <c r="C122" s="295"/>
      <c r="D122" s="295"/>
      <c r="E122" s="34" t="s">
        <v>127</v>
      </c>
      <c r="F122" s="34" t="s">
        <v>127</v>
      </c>
      <c r="G122" s="76"/>
      <c r="H122" s="39"/>
      <c r="I122" s="133"/>
    </row>
    <row r="123" spans="1:9" ht="15" customHeight="1" x14ac:dyDescent="0.2">
      <c r="A123" s="299" t="s">
        <v>40</v>
      </c>
      <c r="B123" s="299"/>
      <c r="C123" s="299"/>
      <c r="D123" s="299"/>
      <c r="E123" s="35" t="e">
        <f>SUM(E119:E122)</f>
        <v>#DIV/0!</v>
      </c>
      <c r="F123" s="35" t="e">
        <f>SUM(F119:F122)</f>
        <v>#DIV/0!</v>
      </c>
      <c r="G123" s="76"/>
      <c r="H123" s="39"/>
      <c r="I123" s="133"/>
    </row>
    <row r="124" spans="1:9" ht="15" customHeight="1" x14ac:dyDescent="0.2">
      <c r="B124" s="5"/>
      <c r="C124" s="5"/>
      <c r="D124" s="5"/>
      <c r="E124" s="5"/>
      <c r="F124" s="5"/>
      <c r="G124" s="5"/>
      <c r="H124" s="39"/>
      <c r="I124" s="133"/>
    </row>
    <row r="125" spans="1:9" x14ac:dyDescent="0.2">
      <c r="A125" s="5" t="s">
        <v>85</v>
      </c>
      <c r="B125" s="5"/>
      <c r="C125" s="5"/>
      <c r="D125" s="5"/>
      <c r="E125" s="5"/>
      <c r="F125" s="5"/>
      <c r="G125" s="5"/>
      <c r="H125" s="5"/>
      <c r="I125" s="133"/>
    </row>
    <row r="126" spans="1:9" ht="38.25" x14ac:dyDescent="0.2">
      <c r="A126" s="194" t="s">
        <v>86</v>
      </c>
      <c r="B126" s="312" t="s">
        <v>87</v>
      </c>
      <c r="C126" s="313"/>
      <c r="D126" s="314"/>
      <c r="E126" s="188" t="s">
        <v>157</v>
      </c>
      <c r="F126" s="188" t="s">
        <v>158</v>
      </c>
      <c r="G126" s="189"/>
    </row>
    <row r="127" spans="1:9" ht="15" customHeight="1" x14ac:dyDescent="0.2">
      <c r="A127" s="196" t="s">
        <v>4</v>
      </c>
      <c r="B127" s="308" t="s">
        <v>88</v>
      </c>
      <c r="C127" s="311"/>
      <c r="D127" s="309"/>
      <c r="E127" s="51" t="s">
        <v>127</v>
      </c>
      <c r="F127" s="48" t="s">
        <v>127</v>
      </c>
      <c r="G127" s="45" t="s">
        <v>177</v>
      </c>
      <c r="H127" s="45"/>
    </row>
    <row r="128" spans="1:9" x14ac:dyDescent="0.2">
      <c r="A128" s="312" t="s">
        <v>40</v>
      </c>
      <c r="B128" s="313"/>
      <c r="C128" s="313"/>
      <c r="D128" s="314"/>
      <c r="E128" s="28" t="str">
        <f>E127</f>
        <v>-</v>
      </c>
      <c r="F128" s="28" t="str">
        <f>F127</f>
        <v>-</v>
      </c>
      <c r="G128" s="80"/>
    </row>
    <row r="129" spans="1:9" ht="29.25" customHeight="1" x14ac:dyDescent="0.2">
      <c r="A129" s="315" t="s">
        <v>215</v>
      </c>
      <c r="B129" s="315"/>
      <c r="C129" s="315"/>
      <c r="D129" s="315"/>
      <c r="E129" s="315"/>
      <c r="F129" s="315"/>
      <c r="G129" s="315"/>
    </row>
    <row r="130" spans="1:9" x14ac:dyDescent="0.2">
      <c r="B130" s="5"/>
      <c r="C130" s="5"/>
      <c r="D130" s="5"/>
      <c r="E130" s="5"/>
      <c r="F130" s="5"/>
      <c r="G130" s="5"/>
      <c r="H130" s="5"/>
      <c r="I130" s="133"/>
    </row>
    <row r="131" spans="1:9" x14ac:dyDescent="0.2">
      <c r="A131" s="5" t="s">
        <v>89</v>
      </c>
      <c r="B131" s="5"/>
      <c r="C131" s="5"/>
      <c r="D131" s="5"/>
      <c r="E131" s="5"/>
      <c r="F131" s="5"/>
      <c r="G131" s="5"/>
      <c r="H131" s="5"/>
      <c r="I131" s="133"/>
    </row>
    <row r="132" spans="1:9" ht="38.25" x14ac:dyDescent="0.2">
      <c r="A132" s="188">
        <v>4</v>
      </c>
      <c r="B132" s="276" t="s">
        <v>90</v>
      </c>
      <c r="C132" s="310"/>
      <c r="D132" s="277"/>
      <c r="E132" s="188" t="s">
        <v>157</v>
      </c>
      <c r="F132" s="188" t="s">
        <v>158</v>
      </c>
      <c r="G132" s="189"/>
    </row>
    <row r="133" spans="1:9" x14ac:dyDescent="0.2">
      <c r="A133" s="196" t="s">
        <v>79</v>
      </c>
      <c r="B133" s="308" t="s">
        <v>80</v>
      </c>
      <c r="C133" s="311"/>
      <c r="D133" s="309"/>
      <c r="E133" s="34" t="e">
        <f>E114</f>
        <v>#DIV/0!</v>
      </c>
      <c r="F133" s="34" t="e">
        <f>F114</f>
        <v>#DIV/0!</v>
      </c>
      <c r="G133" s="76"/>
    </row>
    <row r="134" spans="1:9" ht="15" customHeight="1" x14ac:dyDescent="0.2">
      <c r="A134" s="196" t="s">
        <v>174</v>
      </c>
      <c r="B134" s="308" t="s">
        <v>183</v>
      </c>
      <c r="C134" s="311"/>
      <c r="D134" s="309"/>
      <c r="E134" s="49" t="e">
        <f>E123</f>
        <v>#DIV/0!</v>
      </c>
      <c r="F134" s="49" t="e">
        <f>F123</f>
        <v>#DIV/0!</v>
      </c>
      <c r="G134" s="81"/>
    </row>
    <row r="135" spans="1:9" x14ac:dyDescent="0.2">
      <c r="A135" s="196" t="s">
        <v>86</v>
      </c>
      <c r="B135" s="308" t="s">
        <v>87</v>
      </c>
      <c r="C135" s="311"/>
      <c r="D135" s="309"/>
      <c r="E135" s="49" t="str">
        <f>E128</f>
        <v>-</v>
      </c>
      <c r="F135" s="49" t="str">
        <f>F128</f>
        <v>-</v>
      </c>
      <c r="G135" s="81"/>
    </row>
    <row r="136" spans="1:9" x14ac:dyDescent="0.2">
      <c r="A136" s="312" t="s">
        <v>40</v>
      </c>
      <c r="B136" s="313"/>
      <c r="C136" s="313"/>
      <c r="D136" s="314"/>
      <c r="E136" s="50" t="e">
        <f>SUM(E133:E135)</f>
        <v>#DIV/0!</v>
      </c>
      <c r="F136" s="50" t="e">
        <f>SUM(F133:F135)</f>
        <v>#DIV/0!</v>
      </c>
      <c r="G136" s="82"/>
    </row>
    <row r="137" spans="1:9" x14ac:dyDescent="0.2">
      <c r="A137" s="3"/>
      <c r="B137" s="3"/>
      <c r="C137" s="3"/>
      <c r="D137" s="3"/>
      <c r="E137" s="3"/>
      <c r="F137" s="3"/>
      <c r="G137" s="3"/>
    </row>
    <row r="138" spans="1:9" x14ac:dyDescent="0.2">
      <c r="A138" s="6" t="s">
        <v>91</v>
      </c>
      <c r="B138" s="6"/>
      <c r="C138" s="6"/>
      <c r="D138" s="6"/>
      <c r="E138" s="6"/>
      <c r="F138" s="6"/>
      <c r="G138" s="6"/>
      <c r="H138" s="5"/>
      <c r="I138" s="133"/>
    </row>
    <row r="139" spans="1:9" x14ac:dyDescent="0.2">
      <c r="A139" s="3"/>
      <c r="B139" s="3"/>
      <c r="C139" s="3"/>
      <c r="D139" s="3"/>
      <c r="E139" s="3"/>
      <c r="F139" s="3"/>
      <c r="G139" s="3"/>
    </row>
    <row r="140" spans="1:9" x14ac:dyDescent="0.2">
      <c r="A140" s="194">
        <v>5</v>
      </c>
      <c r="B140" s="299" t="s">
        <v>92</v>
      </c>
      <c r="C140" s="299"/>
      <c r="D140" s="194" t="s">
        <v>29</v>
      </c>
      <c r="E140" s="16"/>
      <c r="F140" s="16"/>
      <c r="G140" s="16"/>
    </row>
    <row r="141" spans="1:9" x14ac:dyDescent="0.2">
      <c r="A141" s="196" t="s">
        <v>4</v>
      </c>
      <c r="B141" s="295" t="s">
        <v>244</v>
      </c>
      <c r="C141" s="295"/>
      <c r="D141" s="91" t="e">
        <f>'ANEXO VI-Uniformes e EPIs'!G18</f>
        <v>#DIV/0!</v>
      </c>
      <c r="E141" s="45" t="s">
        <v>415</v>
      </c>
      <c r="F141" s="14"/>
      <c r="G141" s="14"/>
    </row>
    <row r="142" spans="1:9" x14ac:dyDescent="0.2">
      <c r="A142" s="196" t="s">
        <v>6</v>
      </c>
      <c r="B142" s="295" t="s">
        <v>242</v>
      </c>
      <c r="C142" s="295"/>
      <c r="D142" s="91" t="e">
        <f>'ANEXO III-Materiais e Produtos'!H43/17</f>
        <v>#DIV/0!</v>
      </c>
      <c r="E142" s="45" t="s">
        <v>413</v>
      </c>
      <c r="F142" s="14"/>
      <c r="G142" s="14"/>
    </row>
    <row r="143" spans="1:9" x14ac:dyDescent="0.2">
      <c r="A143" s="196" t="s">
        <v>8</v>
      </c>
      <c r="B143" s="295" t="s">
        <v>243</v>
      </c>
      <c r="C143" s="295"/>
      <c r="D143" s="91" t="e">
        <f>'ANEXO IV-Equip. e Utensílios'!G38/17</f>
        <v>#DIV/0!</v>
      </c>
      <c r="E143" s="45" t="s">
        <v>414</v>
      </c>
      <c r="F143" s="14"/>
      <c r="G143" s="14"/>
    </row>
    <row r="144" spans="1:9" x14ac:dyDescent="0.2">
      <c r="A144" s="196" t="s">
        <v>34</v>
      </c>
      <c r="B144" s="295" t="s">
        <v>39</v>
      </c>
      <c r="C144" s="295"/>
      <c r="D144" s="91">
        <v>0</v>
      </c>
      <c r="E144" s="45"/>
      <c r="F144" s="14"/>
      <c r="G144" s="14"/>
    </row>
    <row r="145" spans="1:21" x14ac:dyDescent="0.2">
      <c r="A145" s="299" t="s">
        <v>40</v>
      </c>
      <c r="B145" s="299"/>
      <c r="C145" s="299"/>
      <c r="D145" s="35" t="e">
        <f>SUM(D141:D144)</f>
        <v>#DIV/0!</v>
      </c>
      <c r="E145" s="15"/>
      <c r="F145" s="15"/>
      <c r="G145" s="15"/>
    </row>
    <row r="146" spans="1:21" x14ac:dyDescent="0.2">
      <c r="A146" s="23" t="s">
        <v>216</v>
      </c>
      <c r="B146" s="23"/>
      <c r="C146" s="23"/>
      <c r="D146" s="23"/>
      <c r="E146" s="23"/>
      <c r="F146" s="23"/>
      <c r="G146" s="23"/>
      <c r="H146" s="5"/>
      <c r="I146" s="133"/>
    </row>
    <row r="147" spans="1:21" ht="31.5" customHeight="1" x14ac:dyDescent="0.2">
      <c r="A147" s="315" t="s">
        <v>418</v>
      </c>
      <c r="B147" s="315"/>
      <c r="C147" s="315"/>
      <c r="D147" s="315"/>
      <c r="E147" s="315"/>
      <c r="F147" s="315"/>
      <c r="G147" s="315"/>
      <c r="H147" s="5"/>
      <c r="I147" s="133"/>
    </row>
    <row r="148" spans="1:21" x14ac:dyDescent="0.2">
      <c r="A148" s="5"/>
      <c r="B148" s="5"/>
      <c r="C148" s="5"/>
      <c r="D148" s="5"/>
      <c r="E148" s="5"/>
      <c r="F148" s="5"/>
      <c r="G148" s="5"/>
      <c r="H148" s="5"/>
      <c r="I148" s="133"/>
    </row>
    <row r="149" spans="1:21" x14ac:dyDescent="0.2">
      <c r="A149" s="6" t="s">
        <v>93</v>
      </c>
      <c r="B149" s="6"/>
      <c r="C149" s="6"/>
      <c r="D149" s="6"/>
      <c r="E149" s="6"/>
      <c r="F149" s="6"/>
      <c r="G149" s="6"/>
      <c r="H149" s="5"/>
      <c r="I149" s="133"/>
    </row>
    <row r="150" spans="1:21" x14ac:dyDescent="0.2">
      <c r="A150" s="3"/>
      <c r="B150" s="3"/>
      <c r="C150" s="3"/>
      <c r="D150" s="3"/>
      <c r="E150" s="3"/>
      <c r="F150" s="3"/>
      <c r="G150" s="3"/>
    </row>
    <row r="151" spans="1:21" ht="27" customHeight="1" x14ac:dyDescent="0.2">
      <c r="A151" s="298">
        <v>6</v>
      </c>
      <c r="B151" s="318" t="s">
        <v>94</v>
      </c>
      <c r="C151" s="319"/>
      <c r="D151" s="296" t="s">
        <v>184</v>
      </c>
      <c r="E151" s="296"/>
      <c r="F151" s="296" t="s">
        <v>185</v>
      </c>
      <c r="G151" s="296"/>
      <c r="H151" s="296" t="s">
        <v>158</v>
      </c>
      <c r="I151" s="296"/>
      <c r="J151" s="343"/>
      <c r="K151" s="343"/>
    </row>
    <row r="152" spans="1:21" x14ac:dyDescent="0.2">
      <c r="A152" s="317"/>
      <c r="B152" s="320"/>
      <c r="C152" s="321"/>
      <c r="D152" s="188" t="s">
        <v>186</v>
      </c>
      <c r="E152" s="188" t="s">
        <v>187</v>
      </c>
      <c r="F152" s="188" t="s">
        <v>186</v>
      </c>
      <c r="G152" s="188" t="s">
        <v>187</v>
      </c>
      <c r="H152" s="188" t="s">
        <v>186</v>
      </c>
      <c r="I152" s="188" t="s">
        <v>187</v>
      </c>
      <c r="J152" s="189"/>
      <c r="K152" s="189"/>
    </row>
    <row r="153" spans="1:21" x14ac:dyDescent="0.2">
      <c r="A153" s="196" t="s">
        <v>4</v>
      </c>
      <c r="B153" s="308" t="s">
        <v>95</v>
      </c>
      <c r="C153" s="309"/>
      <c r="D153" s="148">
        <v>0</v>
      </c>
      <c r="E153" s="91" t="e">
        <f>(E39+E84+E98+E136+D145)*D153</f>
        <v>#DIV/0!</v>
      </c>
      <c r="F153" s="148">
        <f>D153</f>
        <v>0</v>
      </c>
      <c r="G153" s="91" t="e">
        <f>(E39+E84+E98+E136+D145)*F153</f>
        <v>#DIV/0!</v>
      </c>
      <c r="H153" s="148">
        <f>F153</f>
        <v>0</v>
      </c>
      <c r="I153" s="91" t="e">
        <f>(E39+F84+F98+F136+D145)*H153</f>
        <v>#DIV/0!</v>
      </c>
      <c r="J153" s="45" t="s">
        <v>416</v>
      </c>
      <c r="K153" s="108"/>
      <c r="L153" s="108"/>
      <c r="M153" s="108"/>
      <c r="N153" s="108"/>
      <c r="O153" s="108"/>
      <c r="P153" s="108"/>
      <c r="Q153" s="108"/>
      <c r="R153" s="108"/>
      <c r="S153" s="108"/>
      <c r="T153" s="108"/>
    </row>
    <row r="154" spans="1:21" x14ac:dyDescent="0.2">
      <c r="A154" s="196" t="s">
        <v>6</v>
      </c>
      <c r="B154" s="308" t="s">
        <v>96</v>
      </c>
      <c r="C154" s="309"/>
      <c r="D154" s="148">
        <v>0</v>
      </c>
      <c r="E154" s="149" t="e">
        <f>(E39+E84+E98+E136+D145+E153)*D154</f>
        <v>#DIV/0!</v>
      </c>
      <c r="F154" s="148">
        <f>D154</f>
        <v>0</v>
      </c>
      <c r="G154" s="91" t="e">
        <f>(E39+E84+E98+E136+D145+G153)*F154</f>
        <v>#DIV/0!</v>
      </c>
      <c r="H154" s="148">
        <f>F154</f>
        <v>0</v>
      </c>
      <c r="I154" s="91" t="e">
        <f>(E39+F84+F98+F136+D145+I153)*H154</f>
        <v>#DIV/0!</v>
      </c>
      <c r="J154" s="45" t="s">
        <v>416</v>
      </c>
      <c r="K154" s="108"/>
      <c r="L154" s="108"/>
      <c r="M154" s="108"/>
      <c r="N154" s="108"/>
      <c r="O154" s="108"/>
      <c r="P154" s="108"/>
      <c r="Q154" s="108"/>
      <c r="R154" s="108"/>
      <c r="S154" s="108"/>
      <c r="T154" s="108"/>
    </row>
    <row r="155" spans="1:21" x14ac:dyDescent="0.2">
      <c r="A155" s="196" t="s">
        <v>8</v>
      </c>
      <c r="B155" s="308" t="s">
        <v>97</v>
      </c>
      <c r="C155" s="309"/>
      <c r="D155" s="150" t="s">
        <v>127</v>
      </c>
      <c r="E155" s="151" t="e">
        <f>E157+E160+E161</f>
        <v>#DIV/0!</v>
      </c>
      <c r="F155" s="150" t="s">
        <v>127</v>
      </c>
      <c r="G155" s="151" t="e">
        <f>G157+G160+G161</f>
        <v>#DIV/0!</v>
      </c>
      <c r="H155" s="150" t="s">
        <v>127</v>
      </c>
      <c r="I155" s="151" t="e">
        <f>I157+I160+I161</f>
        <v>#DIV/0!</v>
      </c>
      <c r="J155" s="45" t="s">
        <v>219</v>
      </c>
    </row>
    <row r="156" spans="1:21" s="56" customFormat="1" ht="28.5" customHeight="1" x14ac:dyDescent="0.2">
      <c r="A156" s="53"/>
      <c r="B156" s="344" t="s">
        <v>188</v>
      </c>
      <c r="C156" s="345"/>
      <c r="D156" s="152">
        <f>1-((D158+D159+D162))</f>
        <v>0.88749999999999996</v>
      </c>
      <c r="E156" s="153" t="e">
        <f>(E39+E84+E98+E136+D145+E153+E154)/D156</f>
        <v>#DIV/0!</v>
      </c>
      <c r="F156" s="152">
        <f>1-((F158+F159+F162))</f>
        <v>0.94350000000000001</v>
      </c>
      <c r="G156" s="153" t="e">
        <f>(E39+E84+E98+E136+D145+G153+G154)/F156</f>
        <v>#DIV/0!</v>
      </c>
      <c r="H156" s="152">
        <f>1-((H158+H159+H162))</f>
        <v>0.95350000000000001</v>
      </c>
      <c r="I156" s="153" t="e">
        <f>(E39+F84+F98+F136+D145+I153+I154)/H156</f>
        <v>#DIV/0!</v>
      </c>
      <c r="J156" s="346" t="s">
        <v>200</v>
      </c>
      <c r="K156" s="346"/>
      <c r="L156" s="346"/>
      <c r="M156" s="346"/>
      <c r="N156" s="346"/>
      <c r="O156" s="346"/>
      <c r="P156" s="346"/>
      <c r="Q156" s="346"/>
      <c r="R156" s="346"/>
      <c r="S156" s="346"/>
      <c r="T156" s="346"/>
      <c r="U156" s="190"/>
    </row>
    <row r="157" spans="1:21" x14ac:dyDescent="0.2">
      <c r="A157" s="196"/>
      <c r="B157" s="308" t="s">
        <v>189</v>
      </c>
      <c r="C157" s="309"/>
      <c r="D157" s="154" t="s">
        <v>127</v>
      </c>
      <c r="E157" s="151" t="e">
        <f>SUM(E158:E159)</f>
        <v>#DIV/0!</v>
      </c>
      <c r="F157" s="154" t="s">
        <v>127</v>
      </c>
      <c r="G157" s="151" t="e">
        <f>SUM(G158:G159)</f>
        <v>#DIV/0!</v>
      </c>
      <c r="H157" s="154" t="s">
        <v>127</v>
      </c>
      <c r="I157" s="151" t="e">
        <f>SUM(I158:I159)</f>
        <v>#DIV/0!</v>
      </c>
      <c r="J157" s="45" t="s">
        <v>197</v>
      </c>
    </row>
    <row r="158" spans="1:21" s="56" customFormat="1" x14ac:dyDescent="0.2">
      <c r="A158" s="53"/>
      <c r="B158" s="344" t="s">
        <v>190</v>
      </c>
      <c r="C158" s="345"/>
      <c r="D158" s="155">
        <v>1.6500000000000001E-2</v>
      </c>
      <c r="E158" s="156" t="e">
        <f>E156*D158</f>
        <v>#DIV/0!</v>
      </c>
      <c r="F158" s="157">
        <v>6.4999999999999997E-3</v>
      </c>
      <c r="G158" s="156" t="e">
        <f>G156*F158</f>
        <v>#DIV/0!</v>
      </c>
      <c r="H158" s="157">
        <v>4.7000000000000002E-3</v>
      </c>
      <c r="I158" s="156" t="e">
        <f>I156*H158</f>
        <v>#DIV/0!</v>
      </c>
      <c r="J158" s="45" t="s">
        <v>196</v>
      </c>
    </row>
    <row r="159" spans="1:21" s="56" customFormat="1" x14ac:dyDescent="0.2">
      <c r="A159" s="53"/>
      <c r="B159" s="344" t="s">
        <v>191</v>
      </c>
      <c r="C159" s="345"/>
      <c r="D159" s="155">
        <v>7.5999999999999998E-2</v>
      </c>
      <c r="E159" s="156" t="e">
        <f>E156*D159</f>
        <v>#DIV/0!</v>
      </c>
      <c r="F159" s="157">
        <v>0.03</v>
      </c>
      <c r="G159" s="156" t="e">
        <f>G156*F159</f>
        <v>#DIV/0!</v>
      </c>
      <c r="H159" s="157">
        <v>2.18E-2</v>
      </c>
      <c r="I159" s="156" t="e">
        <f>I156*H159</f>
        <v>#DIV/0!</v>
      </c>
      <c r="J159" s="45" t="s">
        <v>195</v>
      </c>
    </row>
    <row r="160" spans="1:21" x14ac:dyDescent="0.2">
      <c r="A160" s="196"/>
      <c r="B160" s="308" t="s">
        <v>98</v>
      </c>
      <c r="C160" s="309"/>
      <c r="D160" s="150" t="s">
        <v>127</v>
      </c>
      <c r="E160" s="151">
        <v>0</v>
      </c>
      <c r="F160" s="150" t="s">
        <v>127</v>
      </c>
      <c r="G160" s="34">
        <v>0</v>
      </c>
      <c r="H160" s="150" t="s">
        <v>127</v>
      </c>
      <c r="I160" s="34">
        <v>0</v>
      </c>
      <c r="J160" s="45" t="s">
        <v>199</v>
      </c>
    </row>
    <row r="161" spans="1:11" ht="15" customHeight="1" x14ac:dyDescent="0.2">
      <c r="A161" s="196"/>
      <c r="B161" s="308" t="s">
        <v>193</v>
      </c>
      <c r="C161" s="309"/>
      <c r="D161" s="150" t="s">
        <v>127</v>
      </c>
      <c r="E161" s="151" t="e">
        <f>E162</f>
        <v>#DIV/0!</v>
      </c>
      <c r="F161" s="150" t="s">
        <v>127</v>
      </c>
      <c r="G161" s="151" t="e">
        <f>G162</f>
        <v>#DIV/0!</v>
      </c>
      <c r="H161" s="150" t="s">
        <v>127</v>
      </c>
      <c r="I161" s="151" t="e">
        <f>I162</f>
        <v>#DIV/0!</v>
      </c>
      <c r="J161" s="45" t="s">
        <v>198</v>
      </c>
    </row>
    <row r="162" spans="1:11" s="56" customFormat="1" x14ac:dyDescent="0.2">
      <c r="A162" s="53"/>
      <c r="B162" s="344" t="s">
        <v>192</v>
      </c>
      <c r="C162" s="345"/>
      <c r="D162" s="155">
        <v>0.02</v>
      </c>
      <c r="E162" s="156" t="e">
        <f>E156*D162</f>
        <v>#DIV/0!</v>
      </c>
      <c r="F162" s="158">
        <v>0.02</v>
      </c>
      <c r="G162" s="156" t="e">
        <f>G156*F162</f>
        <v>#DIV/0!</v>
      </c>
      <c r="H162" s="155">
        <v>0.02</v>
      </c>
      <c r="I162" s="156" t="e">
        <f>I156*H162</f>
        <v>#DIV/0!</v>
      </c>
      <c r="J162" s="45" t="s">
        <v>194</v>
      </c>
    </row>
    <row r="163" spans="1:11" x14ac:dyDescent="0.2">
      <c r="A163" s="312" t="s">
        <v>201</v>
      </c>
      <c r="B163" s="313"/>
      <c r="C163" s="314"/>
      <c r="D163" s="52" t="s">
        <v>127</v>
      </c>
      <c r="E163" s="159" t="e">
        <f>E153+E154+E155</f>
        <v>#DIV/0!</v>
      </c>
      <c r="F163" s="52" t="s">
        <v>127</v>
      </c>
      <c r="G163" s="159" t="e">
        <f>G153+G154+G155</f>
        <v>#DIV/0!</v>
      </c>
      <c r="H163" s="52" t="s">
        <v>127</v>
      </c>
      <c r="I163" s="159" t="e">
        <f>I153+I154+I155</f>
        <v>#DIV/0!</v>
      </c>
      <c r="J163" s="81"/>
      <c r="K163" s="160"/>
    </row>
    <row r="164" spans="1:11" x14ac:dyDescent="0.2">
      <c r="A164" s="23" t="s">
        <v>217</v>
      </c>
      <c r="B164" s="5"/>
      <c r="C164" s="5"/>
      <c r="D164" s="5"/>
      <c r="E164" s="5"/>
      <c r="F164" s="5"/>
      <c r="G164" s="5"/>
      <c r="H164" s="5"/>
      <c r="I164" s="133"/>
    </row>
    <row r="165" spans="1:11" x14ac:dyDescent="0.2">
      <c r="A165" s="23" t="s">
        <v>218</v>
      </c>
      <c r="B165" s="5"/>
      <c r="C165" s="5"/>
      <c r="D165" s="5"/>
      <c r="E165" s="5"/>
      <c r="F165" s="5"/>
      <c r="G165" s="5"/>
      <c r="H165" s="5"/>
      <c r="I165" s="133"/>
    </row>
    <row r="166" spans="1:11" x14ac:dyDescent="0.2">
      <c r="A166" s="5"/>
      <c r="B166" s="5"/>
      <c r="C166" s="5"/>
      <c r="D166" s="5"/>
      <c r="E166" s="5"/>
      <c r="F166" s="5"/>
      <c r="G166" s="5"/>
      <c r="H166" s="5"/>
      <c r="I166" s="133"/>
    </row>
    <row r="167" spans="1:11" x14ac:dyDescent="0.2">
      <c r="A167" s="5" t="s">
        <v>99</v>
      </c>
      <c r="B167" s="5"/>
      <c r="C167" s="5"/>
      <c r="D167" s="5"/>
      <c r="E167" s="5"/>
      <c r="F167" s="5"/>
      <c r="G167" s="5"/>
      <c r="H167" s="5"/>
      <c r="I167" s="133"/>
    </row>
    <row r="168" spans="1:11" s="161" customFormat="1" ht="29.25" customHeight="1" x14ac:dyDescent="0.25">
      <c r="A168" s="32"/>
      <c r="B168" s="276" t="s">
        <v>100</v>
      </c>
      <c r="C168" s="277"/>
      <c r="D168" s="188" t="s">
        <v>184</v>
      </c>
      <c r="E168" s="188" t="s">
        <v>185</v>
      </c>
      <c r="F168" s="188" t="s">
        <v>158</v>
      </c>
      <c r="G168" s="189"/>
    </row>
    <row r="169" spans="1:11" ht="24" customHeight="1" x14ac:dyDescent="0.2">
      <c r="A169" s="196" t="s">
        <v>4</v>
      </c>
      <c r="B169" s="295" t="s">
        <v>101</v>
      </c>
      <c r="C169" s="295"/>
      <c r="D169" s="57">
        <f>E39</f>
        <v>0</v>
      </c>
      <c r="E169" s="57">
        <f>E39</f>
        <v>0</v>
      </c>
      <c r="F169" s="61">
        <f>E39</f>
        <v>0</v>
      </c>
      <c r="G169" s="83"/>
    </row>
    <row r="170" spans="1:11" ht="26.25" customHeight="1" x14ac:dyDescent="0.2">
      <c r="A170" s="196" t="s">
        <v>6</v>
      </c>
      <c r="B170" s="295" t="s">
        <v>102</v>
      </c>
      <c r="C170" s="295"/>
      <c r="D170" s="57" t="e">
        <f>E84</f>
        <v>#DIV/0!</v>
      </c>
      <c r="E170" s="57" t="e">
        <f>E84</f>
        <v>#DIV/0!</v>
      </c>
      <c r="F170" s="61" t="e">
        <f>F84</f>
        <v>#DIV/0!</v>
      </c>
      <c r="G170" s="83"/>
    </row>
    <row r="171" spans="1:11" x14ac:dyDescent="0.2">
      <c r="A171" s="196" t="s">
        <v>8</v>
      </c>
      <c r="B171" s="295" t="s">
        <v>103</v>
      </c>
      <c r="C171" s="295"/>
      <c r="D171" s="57" t="e">
        <f>E98</f>
        <v>#DIV/0!</v>
      </c>
      <c r="E171" s="57" t="e">
        <f>E98</f>
        <v>#DIV/0!</v>
      </c>
      <c r="F171" s="61" t="e">
        <f>F98</f>
        <v>#DIV/0!</v>
      </c>
      <c r="G171" s="83"/>
    </row>
    <row r="172" spans="1:11" ht="26.25" customHeight="1" x14ac:dyDescent="0.2">
      <c r="A172" s="196" t="s">
        <v>10</v>
      </c>
      <c r="B172" s="295" t="s">
        <v>104</v>
      </c>
      <c r="C172" s="295"/>
      <c r="D172" s="57" t="e">
        <f>E136</f>
        <v>#DIV/0!</v>
      </c>
      <c r="E172" s="57" t="e">
        <f>E136</f>
        <v>#DIV/0!</v>
      </c>
      <c r="F172" s="61" t="e">
        <f>F136</f>
        <v>#DIV/0!</v>
      </c>
      <c r="G172" s="83"/>
      <c r="H172" s="162"/>
    </row>
    <row r="173" spans="1:11" x14ac:dyDescent="0.2">
      <c r="A173" s="196" t="s">
        <v>34</v>
      </c>
      <c r="B173" s="295" t="s">
        <v>105</v>
      </c>
      <c r="C173" s="295"/>
      <c r="D173" s="57" t="e">
        <f>D145</f>
        <v>#DIV/0!</v>
      </c>
      <c r="E173" s="57" t="e">
        <f>D145</f>
        <v>#DIV/0!</v>
      </c>
      <c r="F173" s="61" t="e">
        <f>D145</f>
        <v>#DIV/0!</v>
      </c>
      <c r="G173" s="83"/>
    </row>
    <row r="174" spans="1:11" ht="15" customHeight="1" x14ac:dyDescent="0.2">
      <c r="A174" s="281" t="s">
        <v>106</v>
      </c>
      <c r="B174" s="281"/>
      <c r="C174" s="281"/>
      <c r="D174" s="57" t="e">
        <f>SUM(D169:D173)</f>
        <v>#DIV/0!</v>
      </c>
      <c r="E174" s="57" t="e">
        <f>SUM(E169:E173)</f>
        <v>#DIV/0!</v>
      </c>
      <c r="F174" s="57" t="e">
        <f>SUM(F169:F173)</f>
        <v>#DIV/0!</v>
      </c>
      <c r="G174" s="84"/>
    </row>
    <row r="175" spans="1:11" ht="26.25" customHeight="1" x14ac:dyDescent="0.2">
      <c r="A175" s="196" t="s">
        <v>36</v>
      </c>
      <c r="B175" s="295" t="s">
        <v>107</v>
      </c>
      <c r="C175" s="295"/>
      <c r="D175" s="57" t="e">
        <f>E163</f>
        <v>#DIV/0!</v>
      </c>
      <c r="E175" s="57" t="e">
        <f>G163</f>
        <v>#DIV/0!</v>
      </c>
      <c r="F175" s="61" t="e">
        <f>I163</f>
        <v>#DIV/0!</v>
      </c>
      <c r="G175" s="83"/>
    </row>
    <row r="176" spans="1:11" ht="17.25" customHeight="1" x14ac:dyDescent="0.2">
      <c r="A176" s="312" t="s">
        <v>108</v>
      </c>
      <c r="B176" s="313"/>
      <c r="C176" s="313"/>
      <c r="D176" s="58" t="e">
        <f>D174+D175</f>
        <v>#DIV/0!</v>
      </c>
      <c r="E176" s="58" t="e">
        <f>E174+E175</f>
        <v>#DIV/0!</v>
      </c>
      <c r="F176" s="58" t="e">
        <f>F174+F175</f>
        <v>#DIV/0!</v>
      </c>
      <c r="G176" s="112"/>
      <c r="H176" s="163"/>
    </row>
    <row r="177" spans="1:10" hidden="1" x14ac:dyDescent="0.2">
      <c r="A177" s="3"/>
      <c r="B177" s="3"/>
      <c r="C177" s="3">
        <v>0</v>
      </c>
      <c r="D177" s="60" t="e">
        <f>D176-E156</f>
        <v>#DIV/0!</v>
      </c>
      <c r="E177" s="59" t="e">
        <f>E176-G156</f>
        <v>#DIV/0!</v>
      </c>
      <c r="F177" s="59" t="e">
        <f>F176-I156</f>
        <v>#DIV/0!</v>
      </c>
      <c r="G177" s="85"/>
    </row>
    <row r="178" spans="1:10" x14ac:dyDescent="0.2">
      <c r="A178" s="3"/>
      <c r="B178" s="3"/>
      <c r="C178" s="3"/>
      <c r="D178" s="109" t="e">
        <f>IF(D177=$C$177,"Ok","Erro")</f>
        <v>#DIV/0!</v>
      </c>
      <c r="E178" s="109" t="e">
        <f>IF(E177=$C$177,"Ok","Erro")</f>
        <v>#DIV/0!</v>
      </c>
      <c r="F178" s="109" t="e">
        <f>IF(F177=$C$177,"Ok","Erro")</f>
        <v>#DIV/0!</v>
      </c>
      <c r="G178" s="86"/>
    </row>
    <row r="179" spans="1:10" x14ac:dyDescent="0.2">
      <c r="A179" s="5" t="s">
        <v>109</v>
      </c>
      <c r="B179" s="5"/>
      <c r="C179" s="5"/>
      <c r="D179" s="5"/>
      <c r="E179" s="5"/>
      <c r="F179" s="5"/>
      <c r="G179" s="5"/>
      <c r="H179" s="5"/>
      <c r="I179" s="133"/>
      <c r="J179" s="5"/>
    </row>
    <row r="180" spans="1:10" x14ac:dyDescent="0.2">
      <c r="A180" s="5" t="s">
        <v>110</v>
      </c>
      <c r="B180" s="5"/>
      <c r="C180" s="5"/>
      <c r="D180" s="5"/>
      <c r="E180" s="5"/>
      <c r="F180" s="5"/>
      <c r="G180" s="5"/>
      <c r="H180" s="5"/>
      <c r="I180" s="133"/>
      <c r="J180" s="5"/>
    </row>
    <row r="181" spans="1:10" x14ac:dyDescent="0.2">
      <c r="A181" s="5"/>
      <c r="B181" s="5"/>
      <c r="C181" s="5"/>
      <c r="D181" s="5"/>
      <c r="E181" s="5"/>
      <c r="F181" s="5"/>
      <c r="G181" s="5"/>
      <c r="H181" s="5"/>
      <c r="I181" s="133"/>
      <c r="J181" s="5"/>
    </row>
    <row r="182" spans="1:10" x14ac:dyDescent="0.2">
      <c r="A182" s="5" t="s">
        <v>319</v>
      </c>
      <c r="B182" s="5"/>
      <c r="C182" s="5"/>
      <c r="D182" s="5"/>
      <c r="E182" s="5"/>
      <c r="F182" s="5"/>
      <c r="G182" s="5"/>
      <c r="H182" s="5"/>
      <c r="I182" s="133"/>
      <c r="J182" s="5"/>
    </row>
    <row r="183" spans="1:10" ht="25.5" customHeight="1" x14ac:dyDescent="0.2">
      <c r="A183" s="5"/>
      <c r="B183" s="5"/>
      <c r="C183" s="296" t="s">
        <v>184</v>
      </c>
      <c r="D183" s="296"/>
      <c r="E183" s="296" t="s">
        <v>185</v>
      </c>
      <c r="F183" s="296"/>
      <c r="G183" s="296" t="s">
        <v>158</v>
      </c>
      <c r="H183" s="296"/>
      <c r="I183" s="133"/>
      <c r="J183" s="5"/>
    </row>
    <row r="184" spans="1:10" ht="38.25" x14ac:dyDescent="0.2">
      <c r="A184" s="188" t="s">
        <v>111</v>
      </c>
      <c r="B184" s="197" t="s">
        <v>138</v>
      </c>
      <c r="C184" s="188" t="s">
        <v>202</v>
      </c>
      <c r="D184" s="188" t="s">
        <v>154</v>
      </c>
      <c r="E184" s="188" t="s">
        <v>202</v>
      </c>
      <c r="F184" s="188" t="s">
        <v>154</v>
      </c>
      <c r="G184" s="188" t="s">
        <v>202</v>
      </c>
      <c r="H184" s="188" t="s">
        <v>154</v>
      </c>
    </row>
    <row r="185" spans="1:10" x14ac:dyDescent="0.2">
      <c r="A185" s="10" t="s">
        <v>112</v>
      </c>
      <c r="B185" s="131">
        <f>Produtividade!B17</f>
        <v>4000</v>
      </c>
      <c r="C185" s="66" t="e">
        <f>$D$176</f>
        <v>#DIV/0!</v>
      </c>
      <c r="D185" s="66" t="e">
        <f>C185/$B185</f>
        <v>#DIV/0!</v>
      </c>
      <c r="E185" s="65" t="e">
        <f>$E$176</f>
        <v>#DIV/0!</v>
      </c>
      <c r="F185" s="65" t="e">
        <f>E185/$B185</f>
        <v>#DIV/0!</v>
      </c>
      <c r="G185" s="65" t="e">
        <f>$F$176</f>
        <v>#DIV/0!</v>
      </c>
      <c r="H185" s="65" t="e">
        <f>G185/$B185</f>
        <v>#DIV/0!</v>
      </c>
    </row>
    <row r="186" spans="1:10" x14ac:dyDescent="0.2">
      <c r="A186" s="63" t="s">
        <v>113</v>
      </c>
      <c r="B186" s="64"/>
      <c r="C186" s="63"/>
      <c r="D186" s="67" t="e">
        <f>D185</f>
        <v>#DIV/0!</v>
      </c>
      <c r="E186" s="63"/>
      <c r="F186" s="67" t="e">
        <f>F185</f>
        <v>#DIV/0!</v>
      </c>
      <c r="G186" s="63"/>
      <c r="H186" s="67" t="e">
        <f>H185</f>
        <v>#DIV/0!</v>
      </c>
    </row>
    <row r="187" spans="1:10" x14ac:dyDescent="0.2">
      <c r="A187" s="2"/>
      <c r="E187" s="137"/>
      <c r="F187" s="137"/>
      <c r="G187" s="137"/>
    </row>
    <row r="188" spans="1:10" x14ac:dyDescent="0.2">
      <c r="A188" s="5" t="s">
        <v>320</v>
      </c>
      <c r="B188" s="5"/>
      <c r="C188" s="133"/>
      <c r="D188" s="5"/>
      <c r="E188" s="164"/>
      <c r="F188" s="164"/>
      <c r="G188" s="164"/>
    </row>
    <row r="189" spans="1:10" x14ac:dyDescent="0.2">
      <c r="A189" s="5"/>
      <c r="B189" s="5"/>
      <c r="C189" s="296" t="s">
        <v>184</v>
      </c>
      <c r="D189" s="296"/>
      <c r="E189" s="296" t="s">
        <v>185</v>
      </c>
      <c r="F189" s="296"/>
      <c r="G189" s="296" t="s">
        <v>158</v>
      </c>
      <c r="H189" s="296"/>
    </row>
    <row r="190" spans="1:10" ht="38.25" x14ac:dyDescent="0.2">
      <c r="A190" s="188" t="s">
        <v>111</v>
      </c>
      <c r="B190" s="188" t="s">
        <v>138</v>
      </c>
      <c r="C190" s="188" t="s">
        <v>202</v>
      </c>
      <c r="D190" s="188" t="s">
        <v>154</v>
      </c>
      <c r="E190" s="188" t="s">
        <v>202</v>
      </c>
      <c r="F190" s="188" t="s">
        <v>154</v>
      </c>
      <c r="G190" s="188" t="s">
        <v>202</v>
      </c>
      <c r="H190" s="188" t="s">
        <v>154</v>
      </c>
    </row>
    <row r="191" spans="1:10" x14ac:dyDescent="0.2">
      <c r="A191" s="10" t="s">
        <v>112</v>
      </c>
      <c r="B191" s="131">
        <f>Produtividade!B18</f>
        <v>5000</v>
      </c>
      <c r="C191" s="65" t="e">
        <f>$D$176</f>
        <v>#DIV/0!</v>
      </c>
      <c r="D191" s="65" t="e">
        <f>C191/$B191</f>
        <v>#DIV/0!</v>
      </c>
      <c r="E191" s="65" t="e">
        <f>$E$176</f>
        <v>#DIV/0!</v>
      </c>
      <c r="F191" s="65" t="e">
        <f>E191/$B191</f>
        <v>#DIV/0!</v>
      </c>
      <c r="G191" s="65" t="e">
        <f>$F$176</f>
        <v>#DIV/0!</v>
      </c>
      <c r="H191" s="65" t="e">
        <f>G191/$B191</f>
        <v>#DIV/0!</v>
      </c>
    </row>
    <row r="192" spans="1:10" x14ac:dyDescent="0.2">
      <c r="A192" s="63" t="s">
        <v>113</v>
      </c>
      <c r="B192" s="64"/>
      <c r="C192" s="63"/>
      <c r="D192" s="67" t="e">
        <f>D191</f>
        <v>#DIV/0!</v>
      </c>
      <c r="E192" s="63"/>
      <c r="F192" s="67" t="e">
        <f>F191</f>
        <v>#DIV/0!</v>
      </c>
      <c r="G192" s="63"/>
      <c r="H192" s="67" t="e">
        <f>H191</f>
        <v>#DIV/0!</v>
      </c>
    </row>
    <row r="193" spans="1:10" x14ac:dyDescent="0.2">
      <c r="A193" s="2"/>
      <c r="E193" s="137"/>
      <c r="F193" s="137"/>
      <c r="G193" s="137"/>
    </row>
    <row r="194" spans="1:10" x14ac:dyDescent="0.2">
      <c r="A194" s="5" t="s">
        <v>321</v>
      </c>
      <c r="B194" s="5"/>
      <c r="C194" s="133"/>
      <c r="D194" s="5"/>
      <c r="E194" s="164"/>
      <c r="F194" s="164"/>
      <c r="G194" s="164"/>
    </row>
    <row r="195" spans="1:10" x14ac:dyDescent="0.2">
      <c r="A195" s="5"/>
      <c r="B195" s="5"/>
      <c r="C195" s="296" t="s">
        <v>184</v>
      </c>
      <c r="D195" s="296"/>
      <c r="E195" s="296" t="s">
        <v>185</v>
      </c>
      <c r="F195" s="296"/>
      <c r="G195" s="296" t="s">
        <v>158</v>
      </c>
      <c r="H195" s="296"/>
    </row>
    <row r="196" spans="1:10" ht="38.25" x14ac:dyDescent="0.2">
      <c r="A196" s="188" t="s">
        <v>111</v>
      </c>
      <c r="B196" s="188" t="s">
        <v>138</v>
      </c>
      <c r="C196" s="188" t="s">
        <v>202</v>
      </c>
      <c r="D196" s="188" t="s">
        <v>154</v>
      </c>
      <c r="E196" s="188" t="s">
        <v>202</v>
      </c>
      <c r="F196" s="188" t="s">
        <v>154</v>
      </c>
      <c r="G196" s="188" t="s">
        <v>202</v>
      </c>
      <c r="H196" s="188" t="s">
        <v>154</v>
      </c>
    </row>
    <row r="197" spans="1:10" x14ac:dyDescent="0.2">
      <c r="A197" s="10" t="s">
        <v>112</v>
      </c>
      <c r="B197" s="131">
        <f>Produtividade!B19</f>
        <v>1800</v>
      </c>
      <c r="C197" s="65" t="e">
        <f>$D$176</f>
        <v>#DIV/0!</v>
      </c>
      <c r="D197" s="65" t="e">
        <f>C197/$B197</f>
        <v>#DIV/0!</v>
      </c>
      <c r="E197" s="65" t="e">
        <f>$E$176</f>
        <v>#DIV/0!</v>
      </c>
      <c r="F197" s="65" t="e">
        <f>E197/$B197</f>
        <v>#DIV/0!</v>
      </c>
      <c r="G197" s="65" t="e">
        <f>$F$176</f>
        <v>#DIV/0!</v>
      </c>
      <c r="H197" s="65" t="e">
        <f>G197/$B197</f>
        <v>#DIV/0!</v>
      </c>
    </row>
    <row r="198" spans="1:10" x14ac:dyDescent="0.2">
      <c r="A198" s="63" t="s">
        <v>113</v>
      </c>
      <c r="B198" s="64"/>
      <c r="C198" s="63"/>
      <c r="D198" s="67" t="e">
        <f>D197</f>
        <v>#DIV/0!</v>
      </c>
      <c r="E198" s="63"/>
      <c r="F198" s="67" t="e">
        <f>F197</f>
        <v>#DIV/0!</v>
      </c>
      <c r="G198" s="63"/>
      <c r="H198" s="67" t="e">
        <f>H197</f>
        <v>#DIV/0!</v>
      </c>
    </row>
    <row r="199" spans="1:10" x14ac:dyDescent="0.2">
      <c r="A199" s="2"/>
      <c r="B199" s="2"/>
      <c r="C199" s="2"/>
      <c r="E199" s="17"/>
      <c r="F199" s="17"/>
      <c r="G199" s="17"/>
    </row>
    <row r="200" spans="1:10" x14ac:dyDescent="0.2">
      <c r="A200" s="5" t="s">
        <v>322</v>
      </c>
      <c r="B200" s="5"/>
      <c r="C200" s="5"/>
      <c r="D200" s="5"/>
      <c r="E200" s="18"/>
      <c r="F200" s="18"/>
      <c r="G200" s="18"/>
      <c r="I200" s="133"/>
      <c r="J200" s="5"/>
    </row>
    <row r="201" spans="1:10" x14ac:dyDescent="0.2">
      <c r="A201" s="5"/>
      <c r="B201" s="5"/>
      <c r="C201" s="296" t="s">
        <v>184</v>
      </c>
      <c r="D201" s="296"/>
      <c r="E201" s="296" t="s">
        <v>185</v>
      </c>
      <c r="F201" s="296"/>
      <c r="G201" s="296" t="s">
        <v>158</v>
      </c>
      <c r="H201" s="296"/>
      <c r="I201" s="133"/>
      <c r="J201" s="5"/>
    </row>
    <row r="202" spans="1:10" ht="38.25" x14ac:dyDescent="0.2">
      <c r="A202" s="188" t="s">
        <v>111</v>
      </c>
      <c r="B202" s="188" t="s">
        <v>138</v>
      </c>
      <c r="C202" s="188" t="s">
        <v>202</v>
      </c>
      <c r="D202" s="188" t="s">
        <v>154</v>
      </c>
      <c r="E202" s="188" t="s">
        <v>202</v>
      </c>
      <c r="F202" s="188" t="s">
        <v>154</v>
      </c>
      <c r="G202" s="188" t="s">
        <v>202</v>
      </c>
      <c r="H202" s="188" t="s">
        <v>154</v>
      </c>
    </row>
    <row r="203" spans="1:10" x14ac:dyDescent="0.2">
      <c r="A203" s="10" t="s">
        <v>112</v>
      </c>
      <c r="B203" s="131">
        <f>Produtividade!B20</f>
        <v>10000</v>
      </c>
      <c r="C203" s="65" t="e">
        <f>$D$176</f>
        <v>#DIV/0!</v>
      </c>
      <c r="D203" s="65" t="e">
        <f>C203/$B203</f>
        <v>#DIV/0!</v>
      </c>
      <c r="E203" s="65" t="e">
        <f>$E$176</f>
        <v>#DIV/0!</v>
      </c>
      <c r="F203" s="65" t="e">
        <f>E203/$B203</f>
        <v>#DIV/0!</v>
      </c>
      <c r="G203" s="65" t="e">
        <f>$F$176</f>
        <v>#DIV/0!</v>
      </c>
      <c r="H203" s="65" t="e">
        <f>G203/$B203</f>
        <v>#DIV/0!</v>
      </c>
    </row>
    <row r="204" spans="1:10" x14ac:dyDescent="0.2">
      <c r="A204" s="63" t="s">
        <v>113</v>
      </c>
      <c r="B204" s="64"/>
      <c r="C204" s="63"/>
      <c r="D204" s="67" t="e">
        <f>D203</f>
        <v>#DIV/0!</v>
      </c>
      <c r="E204" s="63"/>
      <c r="F204" s="67" t="e">
        <f>F203</f>
        <v>#DIV/0!</v>
      </c>
      <c r="G204" s="63"/>
      <c r="H204" s="67" t="e">
        <f>H203</f>
        <v>#DIV/0!</v>
      </c>
    </row>
    <row r="206" spans="1:10" x14ac:dyDescent="0.2">
      <c r="A206" s="5" t="s">
        <v>323</v>
      </c>
      <c r="B206" s="5"/>
      <c r="C206" s="5"/>
      <c r="D206" s="5"/>
      <c r="E206" s="18"/>
      <c r="F206" s="18"/>
      <c r="G206" s="18"/>
    </row>
    <row r="207" spans="1:10" x14ac:dyDescent="0.2">
      <c r="A207" s="5"/>
      <c r="B207" s="5"/>
      <c r="C207" s="296" t="s">
        <v>184</v>
      </c>
      <c r="D207" s="296"/>
      <c r="E207" s="296" t="s">
        <v>185</v>
      </c>
      <c r="F207" s="296"/>
      <c r="G207" s="296" t="s">
        <v>158</v>
      </c>
      <c r="H207" s="296"/>
    </row>
    <row r="208" spans="1:10" ht="38.25" x14ac:dyDescent="0.2">
      <c r="A208" s="188" t="s">
        <v>111</v>
      </c>
      <c r="B208" s="188" t="s">
        <v>138</v>
      </c>
      <c r="C208" s="188" t="s">
        <v>202</v>
      </c>
      <c r="D208" s="188" t="s">
        <v>154</v>
      </c>
      <c r="E208" s="188" t="s">
        <v>202</v>
      </c>
      <c r="F208" s="188" t="s">
        <v>154</v>
      </c>
      <c r="G208" s="188" t="s">
        <v>202</v>
      </c>
      <c r="H208" s="188" t="s">
        <v>154</v>
      </c>
    </row>
    <row r="209" spans="1:8" x14ac:dyDescent="0.2">
      <c r="A209" s="10" t="s">
        <v>112</v>
      </c>
      <c r="B209" s="131">
        <f>Produtividade!B21</f>
        <v>7500</v>
      </c>
      <c r="C209" s="65" t="e">
        <f>$D$176</f>
        <v>#DIV/0!</v>
      </c>
      <c r="D209" s="65" t="e">
        <f>C209/$B209</f>
        <v>#DIV/0!</v>
      </c>
      <c r="E209" s="65" t="e">
        <f>$E$176</f>
        <v>#DIV/0!</v>
      </c>
      <c r="F209" s="65" t="e">
        <f>E209/$B209</f>
        <v>#DIV/0!</v>
      </c>
      <c r="G209" s="65" t="e">
        <f>$F$176</f>
        <v>#DIV/0!</v>
      </c>
      <c r="H209" s="65" t="e">
        <f>G209/$B209</f>
        <v>#DIV/0!</v>
      </c>
    </row>
    <row r="210" spans="1:8" x14ac:dyDescent="0.2">
      <c r="A210" s="63" t="s">
        <v>113</v>
      </c>
      <c r="B210" s="64"/>
      <c r="C210" s="63"/>
      <c r="D210" s="67" t="e">
        <f>D209</f>
        <v>#DIV/0!</v>
      </c>
      <c r="E210" s="63"/>
      <c r="F210" s="67" t="e">
        <f>F209</f>
        <v>#DIV/0!</v>
      </c>
      <c r="G210" s="63"/>
      <c r="H210" s="67" t="e">
        <f>H209</f>
        <v>#DIV/0!</v>
      </c>
    </row>
    <row r="212" spans="1:8" x14ac:dyDescent="0.2">
      <c r="A212" s="5" t="s">
        <v>324</v>
      </c>
      <c r="B212" s="5"/>
      <c r="C212" s="5"/>
      <c r="D212" s="5"/>
      <c r="E212" s="18"/>
      <c r="F212" s="18"/>
      <c r="G212" s="18"/>
    </row>
    <row r="213" spans="1:8" x14ac:dyDescent="0.2">
      <c r="A213" s="5"/>
      <c r="B213" s="5"/>
      <c r="C213" s="296" t="s">
        <v>184</v>
      </c>
      <c r="D213" s="296"/>
      <c r="E213" s="296" t="s">
        <v>185</v>
      </c>
      <c r="F213" s="296"/>
      <c r="G213" s="296" t="s">
        <v>158</v>
      </c>
      <c r="H213" s="296"/>
    </row>
    <row r="214" spans="1:8" ht="38.25" x14ac:dyDescent="0.2">
      <c r="A214" s="188" t="s">
        <v>111</v>
      </c>
      <c r="B214" s="188" t="s">
        <v>138</v>
      </c>
      <c r="C214" s="188" t="s">
        <v>202</v>
      </c>
      <c r="D214" s="188" t="s">
        <v>154</v>
      </c>
      <c r="E214" s="188" t="s">
        <v>202</v>
      </c>
      <c r="F214" s="188" t="s">
        <v>154</v>
      </c>
      <c r="G214" s="188" t="s">
        <v>202</v>
      </c>
      <c r="H214" s="188" t="s">
        <v>154</v>
      </c>
    </row>
    <row r="215" spans="1:8" x14ac:dyDescent="0.2">
      <c r="A215" s="10" t="s">
        <v>112</v>
      </c>
      <c r="B215" s="131">
        <f>Produtividade!B22</f>
        <v>1000</v>
      </c>
      <c r="C215" s="65" t="e">
        <f>$D$176</f>
        <v>#DIV/0!</v>
      </c>
      <c r="D215" s="65" t="e">
        <f>C215/$B215</f>
        <v>#DIV/0!</v>
      </c>
      <c r="E215" s="65" t="e">
        <f>$E$176</f>
        <v>#DIV/0!</v>
      </c>
      <c r="F215" s="65" t="e">
        <f>E215/$B215</f>
        <v>#DIV/0!</v>
      </c>
      <c r="G215" s="65" t="e">
        <f>$F$176</f>
        <v>#DIV/0!</v>
      </c>
      <c r="H215" s="65" t="e">
        <f>G215/$B215</f>
        <v>#DIV/0!</v>
      </c>
    </row>
    <row r="216" spans="1:8" x14ac:dyDescent="0.2">
      <c r="A216" s="63" t="s">
        <v>113</v>
      </c>
      <c r="B216" s="64"/>
      <c r="C216" s="63"/>
      <c r="D216" s="67" t="e">
        <f>D215</f>
        <v>#DIV/0!</v>
      </c>
      <c r="E216" s="63"/>
      <c r="F216" s="67" t="e">
        <f>F215</f>
        <v>#DIV/0!</v>
      </c>
      <c r="G216" s="63"/>
      <c r="H216" s="67" t="e">
        <f>H215</f>
        <v>#DIV/0!</v>
      </c>
    </row>
    <row r="218" spans="1:8" x14ac:dyDescent="0.2">
      <c r="A218" s="5" t="s">
        <v>325</v>
      </c>
      <c r="B218" s="5"/>
      <c r="C218" s="5"/>
      <c r="D218" s="5"/>
      <c r="E218" s="18"/>
      <c r="F218" s="18"/>
      <c r="G218" s="18"/>
    </row>
    <row r="219" spans="1:8" x14ac:dyDescent="0.2">
      <c r="A219" s="5"/>
      <c r="B219" s="5"/>
      <c r="C219" s="296" t="s">
        <v>184</v>
      </c>
      <c r="D219" s="296"/>
      <c r="E219" s="296" t="s">
        <v>185</v>
      </c>
      <c r="F219" s="296"/>
      <c r="G219" s="296" t="s">
        <v>158</v>
      </c>
      <c r="H219" s="296"/>
    </row>
    <row r="220" spans="1:8" ht="38.25" x14ac:dyDescent="0.2">
      <c r="A220" s="188" t="s">
        <v>111</v>
      </c>
      <c r="B220" s="188" t="s">
        <v>138</v>
      </c>
      <c r="C220" s="188" t="s">
        <v>202</v>
      </c>
      <c r="D220" s="188" t="s">
        <v>154</v>
      </c>
      <c r="E220" s="188" t="s">
        <v>202</v>
      </c>
      <c r="F220" s="188" t="s">
        <v>154</v>
      </c>
      <c r="G220" s="188" t="s">
        <v>202</v>
      </c>
      <c r="H220" s="188" t="s">
        <v>154</v>
      </c>
    </row>
    <row r="221" spans="1:8" x14ac:dyDescent="0.2">
      <c r="A221" s="10" t="s">
        <v>112</v>
      </c>
      <c r="B221" s="131">
        <f>Produtividade!B23</f>
        <v>11250</v>
      </c>
      <c r="C221" s="65" t="e">
        <f>$D$176</f>
        <v>#DIV/0!</v>
      </c>
      <c r="D221" s="65" t="e">
        <f>C221/$B221</f>
        <v>#DIV/0!</v>
      </c>
      <c r="E221" s="65" t="e">
        <f>$E$176</f>
        <v>#DIV/0!</v>
      </c>
      <c r="F221" s="65" t="e">
        <f>E221/$B221</f>
        <v>#DIV/0!</v>
      </c>
      <c r="G221" s="65" t="e">
        <f>$F$176</f>
        <v>#DIV/0!</v>
      </c>
      <c r="H221" s="65" t="e">
        <f>G221/$B221</f>
        <v>#DIV/0!</v>
      </c>
    </row>
    <row r="222" spans="1:8" x14ac:dyDescent="0.2">
      <c r="A222" s="63" t="s">
        <v>113</v>
      </c>
      <c r="B222" s="64"/>
      <c r="C222" s="63"/>
      <c r="D222" s="67" t="e">
        <f>D221</f>
        <v>#DIV/0!</v>
      </c>
      <c r="E222" s="63"/>
      <c r="F222" s="67" t="e">
        <f>F221</f>
        <v>#DIV/0!</v>
      </c>
      <c r="G222" s="63"/>
      <c r="H222" s="67" t="e">
        <f>H221</f>
        <v>#DIV/0!</v>
      </c>
    </row>
    <row r="224" spans="1:8" x14ac:dyDescent="0.2">
      <c r="A224" s="5" t="s">
        <v>326</v>
      </c>
      <c r="B224" s="5"/>
      <c r="C224" s="5"/>
      <c r="D224" s="5"/>
      <c r="E224" s="18"/>
      <c r="F224" s="18"/>
      <c r="G224" s="18"/>
    </row>
    <row r="225" spans="1:11" x14ac:dyDescent="0.2">
      <c r="A225" s="5"/>
      <c r="B225" s="5"/>
      <c r="C225" s="296" t="s">
        <v>184</v>
      </c>
      <c r="D225" s="296"/>
      <c r="E225" s="296" t="s">
        <v>185</v>
      </c>
      <c r="F225" s="296"/>
      <c r="G225" s="296" t="s">
        <v>158</v>
      </c>
      <c r="H225" s="296"/>
    </row>
    <row r="226" spans="1:11" ht="38.25" x14ac:dyDescent="0.2">
      <c r="A226" s="188" t="s">
        <v>111</v>
      </c>
      <c r="B226" s="188" t="s">
        <v>138</v>
      </c>
      <c r="C226" s="188" t="s">
        <v>202</v>
      </c>
      <c r="D226" s="188" t="s">
        <v>154</v>
      </c>
      <c r="E226" s="188" t="s">
        <v>202</v>
      </c>
      <c r="F226" s="188" t="s">
        <v>154</v>
      </c>
      <c r="G226" s="188" t="s">
        <v>202</v>
      </c>
      <c r="H226" s="188" t="s">
        <v>154</v>
      </c>
    </row>
    <row r="227" spans="1:11" x14ac:dyDescent="0.2">
      <c r="A227" s="10" t="s">
        <v>112</v>
      </c>
      <c r="B227" s="131">
        <f>Produtividade!B24</f>
        <v>37500</v>
      </c>
      <c r="C227" s="65" t="e">
        <f>$D$176</f>
        <v>#DIV/0!</v>
      </c>
      <c r="D227" s="65" t="e">
        <f>C227/$B227</f>
        <v>#DIV/0!</v>
      </c>
      <c r="E227" s="65" t="e">
        <f>$E$176</f>
        <v>#DIV/0!</v>
      </c>
      <c r="F227" s="65" t="e">
        <f>E227/$B227</f>
        <v>#DIV/0!</v>
      </c>
      <c r="G227" s="65" t="e">
        <f>$F$176</f>
        <v>#DIV/0!</v>
      </c>
      <c r="H227" s="65" t="e">
        <f>G227/$B227</f>
        <v>#DIV/0!</v>
      </c>
    </row>
    <row r="228" spans="1:11" x14ac:dyDescent="0.2">
      <c r="A228" s="63" t="s">
        <v>113</v>
      </c>
      <c r="B228" s="64"/>
      <c r="C228" s="63"/>
      <c r="D228" s="67" t="e">
        <f>D227</f>
        <v>#DIV/0!</v>
      </c>
      <c r="E228" s="63"/>
      <c r="F228" s="67" t="e">
        <f>F227</f>
        <v>#DIV/0!</v>
      </c>
      <c r="G228" s="63"/>
      <c r="H228" s="67" t="e">
        <f>H227</f>
        <v>#DIV/0!</v>
      </c>
    </row>
    <row r="230" spans="1:11" x14ac:dyDescent="0.2">
      <c r="A230" s="6" t="s">
        <v>327</v>
      </c>
      <c r="B230" s="6"/>
      <c r="C230" s="6"/>
      <c r="D230" s="6"/>
      <c r="E230" s="6"/>
      <c r="F230" s="6"/>
      <c r="G230" s="6"/>
    </row>
    <row r="231" spans="1:11" x14ac:dyDescent="0.2">
      <c r="A231" s="6"/>
      <c r="B231" s="6"/>
      <c r="C231" s="6"/>
      <c r="D231" s="6"/>
      <c r="E231" s="6"/>
      <c r="F231" s="296" t="s">
        <v>184</v>
      </c>
      <c r="G231" s="296"/>
      <c r="H231" s="296" t="s">
        <v>185</v>
      </c>
      <c r="I231" s="296"/>
      <c r="J231" s="296" t="s">
        <v>158</v>
      </c>
      <c r="K231" s="296"/>
    </row>
    <row r="232" spans="1:11" ht="51" x14ac:dyDescent="0.2">
      <c r="A232" s="188" t="s">
        <v>111</v>
      </c>
      <c r="B232" s="13" t="s">
        <v>138</v>
      </c>
      <c r="C232" s="13" t="s">
        <v>137</v>
      </c>
      <c r="D232" s="13" t="s">
        <v>139</v>
      </c>
      <c r="E232" s="13" t="s">
        <v>140</v>
      </c>
      <c r="F232" s="13" t="s">
        <v>203</v>
      </c>
      <c r="G232" s="13" t="s">
        <v>141</v>
      </c>
      <c r="H232" s="13" t="s">
        <v>203</v>
      </c>
      <c r="I232" s="13" t="s">
        <v>141</v>
      </c>
      <c r="J232" s="13" t="s">
        <v>203</v>
      </c>
      <c r="K232" s="13" t="s">
        <v>141</v>
      </c>
    </row>
    <row r="233" spans="1:11" x14ac:dyDescent="0.2">
      <c r="A233" s="10" t="s">
        <v>112</v>
      </c>
      <c r="B233" s="131">
        <f>Produtividade!B25</f>
        <v>725</v>
      </c>
      <c r="C233" s="196">
        <v>16</v>
      </c>
      <c r="D233" s="68">
        <v>188.76</v>
      </c>
      <c r="E233" s="196">
        <f>ROUND((1/B233)*C233*(1/D233),7)</f>
        <v>1.169E-4</v>
      </c>
      <c r="F233" s="65" t="e">
        <f>$D$176</f>
        <v>#DIV/0!</v>
      </c>
      <c r="G233" s="65" t="e">
        <f>F233*$E$233</f>
        <v>#DIV/0!</v>
      </c>
      <c r="H233" s="65" t="e">
        <f>$E$176</f>
        <v>#DIV/0!</v>
      </c>
      <c r="I233" s="65" t="e">
        <f>H233*$E$233</f>
        <v>#DIV/0!</v>
      </c>
      <c r="J233" s="65" t="e">
        <f>$F$176</f>
        <v>#DIV/0!</v>
      </c>
      <c r="K233" s="65" t="e">
        <f>J233*$E$233</f>
        <v>#DIV/0!</v>
      </c>
    </row>
    <row r="234" spans="1:11" x14ac:dyDescent="0.2">
      <c r="A234" s="69" t="s">
        <v>113</v>
      </c>
      <c r="B234" s="70"/>
      <c r="C234" s="70"/>
      <c r="D234" s="70"/>
      <c r="E234" s="70"/>
      <c r="F234" s="69"/>
      <c r="G234" s="71" t="e">
        <f>G233</f>
        <v>#DIV/0!</v>
      </c>
      <c r="H234" s="69"/>
      <c r="I234" s="71" t="e">
        <f>I233</f>
        <v>#DIV/0!</v>
      </c>
      <c r="J234" s="69"/>
      <c r="K234" s="71" t="e">
        <f>K233</f>
        <v>#DIV/0!</v>
      </c>
    </row>
    <row r="236" spans="1:11" x14ac:dyDescent="0.2">
      <c r="A236" s="6" t="s">
        <v>328</v>
      </c>
      <c r="B236" s="6"/>
      <c r="C236" s="6"/>
      <c r="D236" s="6"/>
      <c r="E236" s="6"/>
      <c r="F236" s="6"/>
      <c r="G236" s="6"/>
    </row>
    <row r="237" spans="1:11" x14ac:dyDescent="0.2">
      <c r="A237" s="6"/>
      <c r="B237" s="6"/>
      <c r="C237" s="6"/>
      <c r="D237" s="6"/>
      <c r="E237" s="6"/>
      <c r="F237" s="296" t="s">
        <v>184</v>
      </c>
      <c r="G237" s="296"/>
      <c r="H237" s="296" t="s">
        <v>185</v>
      </c>
      <c r="I237" s="296"/>
      <c r="J237" s="296" t="s">
        <v>158</v>
      </c>
      <c r="K237" s="296"/>
    </row>
    <row r="238" spans="1:11" ht="51" x14ac:dyDescent="0.2">
      <c r="A238" s="188" t="s">
        <v>111</v>
      </c>
      <c r="B238" s="13" t="s">
        <v>138</v>
      </c>
      <c r="C238" s="13" t="s">
        <v>137</v>
      </c>
      <c r="D238" s="13" t="s">
        <v>139</v>
      </c>
      <c r="E238" s="13" t="s">
        <v>140</v>
      </c>
      <c r="F238" s="13" t="s">
        <v>203</v>
      </c>
      <c r="G238" s="13" t="s">
        <v>141</v>
      </c>
      <c r="H238" s="13" t="s">
        <v>203</v>
      </c>
      <c r="I238" s="13" t="s">
        <v>141</v>
      </c>
      <c r="J238" s="13" t="s">
        <v>203</v>
      </c>
      <c r="K238" s="13" t="s">
        <v>141</v>
      </c>
    </row>
    <row r="239" spans="1:11" x14ac:dyDescent="0.2">
      <c r="A239" s="10" t="s">
        <v>112</v>
      </c>
      <c r="B239" s="131">
        <f>Produtividade!B26</f>
        <v>1700</v>
      </c>
      <c r="C239" s="196">
        <v>8</v>
      </c>
      <c r="D239" s="68">
        <v>188.76</v>
      </c>
      <c r="E239" s="196">
        <f>ROUND((1/B239)*C239*(1/D239),7)</f>
        <v>2.4899999999999999E-5</v>
      </c>
      <c r="F239" s="65" t="e">
        <f>$D$176</f>
        <v>#DIV/0!</v>
      </c>
      <c r="G239" s="65" t="e">
        <f>F239*$E$239</f>
        <v>#DIV/0!</v>
      </c>
      <c r="H239" s="65" t="e">
        <f>$E$176</f>
        <v>#DIV/0!</v>
      </c>
      <c r="I239" s="65" t="e">
        <f>H239*$E$239</f>
        <v>#DIV/0!</v>
      </c>
      <c r="J239" s="65" t="e">
        <f>$F$176</f>
        <v>#DIV/0!</v>
      </c>
      <c r="K239" s="65" t="e">
        <f>J239*$E$239</f>
        <v>#DIV/0!</v>
      </c>
    </row>
    <row r="240" spans="1:11" x14ac:dyDescent="0.2">
      <c r="A240" s="69" t="s">
        <v>113</v>
      </c>
      <c r="B240" s="70"/>
      <c r="C240" s="70"/>
      <c r="D240" s="70"/>
      <c r="E240" s="70"/>
      <c r="F240" s="69"/>
      <c r="G240" s="71" t="e">
        <f>G239</f>
        <v>#DIV/0!</v>
      </c>
      <c r="H240" s="69"/>
      <c r="I240" s="71" t="e">
        <f>I239</f>
        <v>#DIV/0!</v>
      </c>
      <c r="J240" s="69"/>
      <c r="K240" s="71" t="e">
        <f>K239</f>
        <v>#DIV/0!</v>
      </c>
    </row>
    <row r="241" spans="1:14" x14ac:dyDescent="0.2">
      <c r="A241" s="5"/>
      <c r="B241" s="5"/>
      <c r="C241" s="5"/>
      <c r="D241" s="5"/>
      <c r="E241" s="18"/>
      <c r="F241" s="18"/>
      <c r="G241" s="18"/>
    </row>
    <row r="242" spans="1:14" x14ac:dyDescent="0.2">
      <c r="A242" s="6" t="s">
        <v>329</v>
      </c>
      <c r="B242" s="6"/>
      <c r="C242" s="6"/>
      <c r="D242" s="6"/>
      <c r="E242" s="6"/>
      <c r="F242" s="6"/>
      <c r="G242" s="6"/>
    </row>
    <row r="243" spans="1:14" x14ac:dyDescent="0.2">
      <c r="A243" s="6"/>
      <c r="B243" s="6"/>
      <c r="C243" s="6"/>
      <c r="D243" s="6"/>
      <c r="E243" s="6"/>
      <c r="F243" s="296" t="s">
        <v>184</v>
      </c>
      <c r="G243" s="296"/>
      <c r="H243" s="296" t="s">
        <v>185</v>
      </c>
      <c r="I243" s="296"/>
      <c r="J243" s="296" t="s">
        <v>158</v>
      </c>
      <c r="K243" s="296"/>
    </row>
    <row r="244" spans="1:14" ht="51" x14ac:dyDescent="0.2">
      <c r="A244" s="188" t="s">
        <v>111</v>
      </c>
      <c r="B244" s="13" t="s">
        <v>138</v>
      </c>
      <c r="C244" s="13" t="s">
        <v>137</v>
      </c>
      <c r="D244" s="13" t="s">
        <v>139</v>
      </c>
      <c r="E244" s="13" t="s">
        <v>140</v>
      </c>
      <c r="F244" s="13" t="s">
        <v>203</v>
      </c>
      <c r="G244" s="13" t="s">
        <v>141</v>
      </c>
      <c r="H244" s="13" t="s">
        <v>203</v>
      </c>
      <c r="I244" s="13" t="s">
        <v>141</v>
      </c>
      <c r="J244" s="13" t="s">
        <v>203</v>
      </c>
      <c r="K244" s="13" t="s">
        <v>141</v>
      </c>
    </row>
    <row r="245" spans="1:14" x14ac:dyDescent="0.2">
      <c r="A245" s="10" t="s">
        <v>112</v>
      </c>
      <c r="B245" s="131">
        <f>Produtividade!B27</f>
        <v>1700</v>
      </c>
      <c r="C245" s="196">
        <v>8</v>
      </c>
      <c r="D245" s="68">
        <v>188.76</v>
      </c>
      <c r="E245" s="196">
        <f>ROUND((1/B245)*C245*(1/D245),7)</f>
        <v>2.4899999999999999E-5</v>
      </c>
      <c r="F245" s="65" t="e">
        <f>$D$176</f>
        <v>#DIV/0!</v>
      </c>
      <c r="G245" s="65" t="e">
        <f>F245*$E$245</f>
        <v>#DIV/0!</v>
      </c>
      <c r="H245" s="65" t="e">
        <f>$E$176</f>
        <v>#DIV/0!</v>
      </c>
      <c r="I245" s="65" t="e">
        <f>H245*$E$245</f>
        <v>#DIV/0!</v>
      </c>
      <c r="J245" s="65" t="e">
        <f>$F$176</f>
        <v>#DIV/0!</v>
      </c>
      <c r="K245" s="65" t="e">
        <f>J245*$E$245</f>
        <v>#DIV/0!</v>
      </c>
    </row>
    <row r="246" spans="1:14" x14ac:dyDescent="0.2">
      <c r="A246" s="69" t="s">
        <v>113</v>
      </c>
      <c r="B246" s="70"/>
      <c r="C246" s="70"/>
      <c r="D246" s="70"/>
      <c r="E246" s="70"/>
      <c r="F246" s="69"/>
      <c r="G246" s="71" t="e">
        <f>G245</f>
        <v>#DIV/0!</v>
      </c>
      <c r="H246" s="69"/>
      <c r="I246" s="71" t="e">
        <f>I245</f>
        <v>#DIV/0!</v>
      </c>
      <c r="J246" s="69"/>
      <c r="K246" s="71" t="e">
        <f>K245</f>
        <v>#DIV/0!</v>
      </c>
    </row>
    <row r="248" spans="1:14" x14ac:dyDescent="0.2">
      <c r="A248" s="6" t="s">
        <v>114</v>
      </c>
      <c r="B248" s="6"/>
      <c r="C248" s="6"/>
      <c r="D248" s="6"/>
      <c r="E248" s="6"/>
      <c r="F248" s="6"/>
      <c r="G248" s="6"/>
      <c r="J248" s="6"/>
    </row>
    <row r="249" spans="1:14" x14ac:dyDescent="0.2">
      <c r="A249" s="6"/>
      <c r="B249" s="6"/>
      <c r="C249" s="6"/>
      <c r="D249" s="6"/>
      <c r="E249" s="6"/>
      <c r="F249" s="296" t="s">
        <v>184</v>
      </c>
      <c r="G249" s="296"/>
      <c r="H249" s="296" t="s">
        <v>185</v>
      </c>
      <c r="I249" s="296"/>
      <c r="J249" s="296" t="s">
        <v>158</v>
      </c>
      <c r="K249" s="296"/>
    </row>
    <row r="250" spans="1:14" ht="38.25" x14ac:dyDescent="0.2">
      <c r="A250" s="296" t="s">
        <v>115</v>
      </c>
      <c r="B250" s="296"/>
      <c r="C250" s="296"/>
      <c r="D250" s="296"/>
      <c r="E250" s="188" t="s">
        <v>143</v>
      </c>
      <c r="F250" s="188" t="s">
        <v>142</v>
      </c>
      <c r="G250" s="188" t="s">
        <v>144</v>
      </c>
      <c r="H250" s="188" t="s">
        <v>142</v>
      </c>
      <c r="I250" s="188" t="s">
        <v>144</v>
      </c>
      <c r="J250" s="188" t="s">
        <v>142</v>
      </c>
      <c r="K250" s="188" t="s">
        <v>144</v>
      </c>
      <c r="L250" s="108"/>
      <c r="M250" s="108"/>
      <c r="N250" s="108"/>
    </row>
    <row r="251" spans="1:14" x14ac:dyDescent="0.2">
      <c r="A251" s="295" t="s">
        <v>318</v>
      </c>
      <c r="B251" s="295"/>
      <c r="C251" s="295"/>
      <c r="D251" s="295"/>
      <c r="E251" s="196">
        <v>7244.08</v>
      </c>
      <c r="F251" s="9" t="e">
        <f>D186</f>
        <v>#DIV/0!</v>
      </c>
      <c r="G251" s="9" t="e">
        <f>$E251*F251</f>
        <v>#DIV/0!</v>
      </c>
      <c r="H251" s="9" t="e">
        <f>F186</f>
        <v>#DIV/0!</v>
      </c>
      <c r="I251" s="9" t="e">
        <f>$E251*H251</f>
        <v>#DIV/0!</v>
      </c>
      <c r="J251" s="9" t="e">
        <f>H186</f>
        <v>#DIV/0!</v>
      </c>
      <c r="K251" s="9" t="e">
        <f>$E251*J251</f>
        <v>#DIV/0!</v>
      </c>
      <c r="L251" s="165"/>
      <c r="M251" s="166"/>
      <c r="N251" s="108"/>
    </row>
    <row r="252" spans="1:14" x14ac:dyDescent="0.2">
      <c r="A252" s="295" t="s">
        <v>320</v>
      </c>
      <c r="B252" s="295"/>
      <c r="C252" s="295"/>
      <c r="D252" s="295"/>
      <c r="E252" s="196">
        <v>0</v>
      </c>
      <c r="F252" s="9" t="e">
        <f>D192</f>
        <v>#DIV/0!</v>
      </c>
      <c r="G252" s="9" t="e">
        <f t="shared" ref="G252:G261" si="1">$E252*F252</f>
        <v>#DIV/0!</v>
      </c>
      <c r="H252" s="9" t="e">
        <f>F192</f>
        <v>#DIV/0!</v>
      </c>
      <c r="I252" s="9" t="e">
        <f t="shared" ref="I252:I261" si="2">$E252*H252</f>
        <v>#DIV/0!</v>
      </c>
      <c r="J252" s="9" t="e">
        <f>H192</f>
        <v>#DIV/0!</v>
      </c>
      <c r="K252" s="9" t="e">
        <f t="shared" ref="K252:K261" si="3">$E252*J252</f>
        <v>#DIV/0!</v>
      </c>
      <c r="L252" s="165"/>
      <c r="M252" s="166"/>
      <c r="N252" s="108"/>
    </row>
    <row r="253" spans="1:14" x14ac:dyDescent="0.2">
      <c r="A253" s="295" t="s">
        <v>321</v>
      </c>
      <c r="B253" s="295"/>
      <c r="C253" s="295"/>
      <c r="D253" s="295"/>
      <c r="E253" s="48">
        <v>4500.72</v>
      </c>
      <c r="F253" s="49" t="e">
        <f>D198</f>
        <v>#DIV/0!</v>
      </c>
      <c r="G253" s="9" t="e">
        <f t="shared" si="1"/>
        <v>#DIV/0!</v>
      </c>
      <c r="H253" s="49" t="e">
        <f>F198</f>
        <v>#DIV/0!</v>
      </c>
      <c r="I253" s="9" t="e">
        <f t="shared" si="2"/>
        <v>#DIV/0!</v>
      </c>
      <c r="J253" s="49" t="e">
        <f>H198</f>
        <v>#DIV/0!</v>
      </c>
      <c r="K253" s="9" t="e">
        <f t="shared" si="3"/>
        <v>#DIV/0!</v>
      </c>
      <c r="L253" s="165"/>
      <c r="M253" s="166"/>
      <c r="N253" s="108"/>
    </row>
    <row r="254" spans="1:14" x14ac:dyDescent="0.2">
      <c r="A254" s="295" t="s">
        <v>330</v>
      </c>
      <c r="B254" s="295"/>
      <c r="C254" s="295"/>
      <c r="D254" s="295"/>
      <c r="E254" s="48">
        <v>1073.52</v>
      </c>
      <c r="F254" s="49" t="e">
        <f>D204</f>
        <v>#DIV/0!</v>
      </c>
      <c r="G254" s="9" t="e">
        <f t="shared" si="1"/>
        <v>#DIV/0!</v>
      </c>
      <c r="H254" s="49" t="e">
        <f>F204</f>
        <v>#DIV/0!</v>
      </c>
      <c r="I254" s="9" t="e">
        <f t="shared" si="2"/>
        <v>#DIV/0!</v>
      </c>
      <c r="J254" s="49" t="e">
        <f>H204</f>
        <v>#DIV/0!</v>
      </c>
      <c r="K254" s="9" t="e">
        <f t="shared" si="3"/>
        <v>#DIV/0!</v>
      </c>
      <c r="L254" s="165"/>
      <c r="M254" s="166"/>
      <c r="N254" s="108"/>
    </row>
    <row r="255" spans="1:14" x14ac:dyDescent="0.2">
      <c r="A255" s="295" t="s">
        <v>331</v>
      </c>
      <c r="B255" s="295"/>
      <c r="C255" s="295"/>
      <c r="D255" s="295"/>
      <c r="E255" s="48">
        <v>0</v>
      </c>
      <c r="F255" s="49" t="e">
        <f>D210</f>
        <v>#DIV/0!</v>
      </c>
      <c r="G255" s="9" t="e">
        <f t="shared" si="1"/>
        <v>#DIV/0!</v>
      </c>
      <c r="H255" s="49" t="e">
        <f>F210</f>
        <v>#DIV/0!</v>
      </c>
      <c r="I255" s="9" t="e">
        <f t="shared" si="2"/>
        <v>#DIV/0!</v>
      </c>
      <c r="J255" s="49" t="e">
        <f>H210</f>
        <v>#DIV/0!</v>
      </c>
      <c r="K255" s="9" t="e">
        <f t="shared" si="3"/>
        <v>#DIV/0!</v>
      </c>
      <c r="L255" s="165"/>
      <c r="M255" s="166"/>
      <c r="N255" s="108"/>
    </row>
    <row r="256" spans="1:14" x14ac:dyDescent="0.2">
      <c r="A256" s="295" t="s">
        <v>332</v>
      </c>
      <c r="B256" s="295"/>
      <c r="C256" s="295"/>
      <c r="D256" s="295"/>
      <c r="E256" s="48">
        <v>168.07</v>
      </c>
      <c r="F256" s="49" t="e">
        <f>D216</f>
        <v>#DIV/0!</v>
      </c>
      <c r="G256" s="9" t="e">
        <f t="shared" si="1"/>
        <v>#DIV/0!</v>
      </c>
      <c r="H256" s="49" t="e">
        <f>F216</f>
        <v>#DIV/0!</v>
      </c>
      <c r="I256" s="9" t="e">
        <f t="shared" si="2"/>
        <v>#DIV/0!</v>
      </c>
      <c r="J256" s="49" t="e">
        <f>H216</f>
        <v>#DIV/0!</v>
      </c>
      <c r="K256" s="9" t="e">
        <f t="shared" si="3"/>
        <v>#DIV/0!</v>
      </c>
      <c r="L256" s="165"/>
      <c r="M256" s="166"/>
      <c r="N256" s="108"/>
    </row>
    <row r="257" spans="1:14" x14ac:dyDescent="0.2">
      <c r="A257" s="295" t="s">
        <v>325</v>
      </c>
      <c r="B257" s="295"/>
      <c r="C257" s="295"/>
      <c r="D257" s="295"/>
      <c r="E257" s="48">
        <v>3492.28</v>
      </c>
      <c r="F257" s="49" t="e">
        <f>D222</f>
        <v>#DIV/0!</v>
      </c>
      <c r="G257" s="9" t="e">
        <f t="shared" si="1"/>
        <v>#DIV/0!</v>
      </c>
      <c r="H257" s="49" t="e">
        <f>F222</f>
        <v>#DIV/0!</v>
      </c>
      <c r="I257" s="9" t="e">
        <f t="shared" si="2"/>
        <v>#DIV/0!</v>
      </c>
      <c r="J257" s="49" t="e">
        <f>H222</f>
        <v>#DIV/0!</v>
      </c>
      <c r="K257" s="9" t="e">
        <f t="shared" si="3"/>
        <v>#DIV/0!</v>
      </c>
      <c r="L257" s="165"/>
      <c r="M257" s="166"/>
      <c r="N257" s="108"/>
    </row>
    <row r="258" spans="1:14" x14ac:dyDescent="0.2">
      <c r="A258" s="295" t="s">
        <v>326</v>
      </c>
      <c r="B258" s="295"/>
      <c r="C258" s="295"/>
      <c r="D258" s="295"/>
      <c r="E258" s="48">
        <v>0</v>
      </c>
      <c r="F258" s="49" t="e">
        <f>D228</f>
        <v>#DIV/0!</v>
      </c>
      <c r="G258" s="9" t="e">
        <f t="shared" si="1"/>
        <v>#DIV/0!</v>
      </c>
      <c r="H258" s="49" t="e">
        <f>F228</f>
        <v>#DIV/0!</v>
      </c>
      <c r="I258" s="9" t="e">
        <f t="shared" si="2"/>
        <v>#DIV/0!</v>
      </c>
      <c r="J258" s="49" t="e">
        <f>H228</f>
        <v>#DIV/0!</v>
      </c>
      <c r="K258" s="9" t="e">
        <f t="shared" si="3"/>
        <v>#DIV/0!</v>
      </c>
      <c r="L258" s="165"/>
      <c r="M258" s="166"/>
      <c r="N258" s="108"/>
    </row>
    <row r="259" spans="1:14" x14ac:dyDescent="0.2">
      <c r="A259" s="295" t="s">
        <v>327</v>
      </c>
      <c r="B259" s="295"/>
      <c r="C259" s="295"/>
      <c r="D259" s="295"/>
      <c r="E259" s="48">
        <v>0</v>
      </c>
      <c r="F259" s="49" t="e">
        <f>G234</f>
        <v>#DIV/0!</v>
      </c>
      <c r="G259" s="9" t="e">
        <f t="shared" si="1"/>
        <v>#DIV/0!</v>
      </c>
      <c r="H259" s="49" t="e">
        <f>I234</f>
        <v>#DIV/0!</v>
      </c>
      <c r="I259" s="9" t="e">
        <f t="shared" si="2"/>
        <v>#DIV/0!</v>
      </c>
      <c r="J259" s="49" t="e">
        <f>K234</f>
        <v>#DIV/0!</v>
      </c>
      <c r="K259" s="9" t="e">
        <f t="shared" si="3"/>
        <v>#DIV/0!</v>
      </c>
      <c r="L259" s="165"/>
      <c r="M259" s="166"/>
      <c r="N259" s="108"/>
    </row>
    <row r="260" spans="1:14" x14ac:dyDescent="0.2">
      <c r="A260" s="295" t="s">
        <v>328</v>
      </c>
      <c r="B260" s="295"/>
      <c r="C260" s="295"/>
      <c r="D260" s="295"/>
      <c r="E260" s="48">
        <v>1304.69</v>
      </c>
      <c r="F260" s="49" t="e">
        <f>G240</f>
        <v>#DIV/0!</v>
      </c>
      <c r="G260" s="9" t="e">
        <f t="shared" si="1"/>
        <v>#DIV/0!</v>
      </c>
      <c r="H260" s="49" t="e">
        <f>I240</f>
        <v>#DIV/0!</v>
      </c>
      <c r="I260" s="9" t="e">
        <f t="shared" si="2"/>
        <v>#DIV/0!</v>
      </c>
      <c r="J260" s="49" t="e">
        <f>K240</f>
        <v>#DIV/0!</v>
      </c>
      <c r="K260" s="9" t="e">
        <f t="shared" si="3"/>
        <v>#DIV/0!</v>
      </c>
      <c r="L260" s="165"/>
      <c r="M260" s="166"/>
      <c r="N260" s="108"/>
    </row>
    <row r="261" spans="1:14" x14ac:dyDescent="0.2">
      <c r="A261" s="295" t="s">
        <v>333</v>
      </c>
      <c r="B261" s="295"/>
      <c r="C261" s="295"/>
      <c r="D261" s="295"/>
      <c r="E261" s="196">
        <v>1385.85</v>
      </c>
      <c r="F261" s="9" t="e">
        <f>G246</f>
        <v>#DIV/0!</v>
      </c>
      <c r="G261" s="9" t="e">
        <f t="shared" si="1"/>
        <v>#DIV/0!</v>
      </c>
      <c r="H261" s="9" t="e">
        <f>I246</f>
        <v>#DIV/0!</v>
      </c>
      <c r="I261" s="9" t="e">
        <f t="shared" si="2"/>
        <v>#DIV/0!</v>
      </c>
      <c r="J261" s="9" t="e">
        <f>K246</f>
        <v>#DIV/0!</v>
      </c>
      <c r="K261" s="9" t="e">
        <f t="shared" si="3"/>
        <v>#DIV/0!</v>
      </c>
      <c r="L261" s="165"/>
      <c r="M261" s="166"/>
      <c r="N261" s="108"/>
    </row>
    <row r="262" spans="1:14" ht="15" customHeight="1" x14ac:dyDescent="0.2">
      <c r="A262" s="299" t="s">
        <v>116</v>
      </c>
      <c r="B262" s="299"/>
      <c r="C262" s="299"/>
      <c r="D262" s="299"/>
      <c r="E262" s="110">
        <f>SUM(E251:E261)</f>
        <v>19169.209999999995</v>
      </c>
      <c r="F262" s="194" t="s">
        <v>127</v>
      </c>
      <c r="G262" s="62" t="e">
        <f>SUM(G251:G261)</f>
        <v>#DIV/0!</v>
      </c>
      <c r="H262" s="194" t="s">
        <v>127</v>
      </c>
      <c r="I262" s="62" t="e">
        <f>SUM(I251:I261)</f>
        <v>#DIV/0!</v>
      </c>
      <c r="J262" s="194" t="s">
        <v>127</v>
      </c>
      <c r="K262" s="62" t="e">
        <f>SUM(K251:K261)</f>
        <v>#DIV/0!</v>
      </c>
      <c r="L262" s="108"/>
      <c r="M262" s="108"/>
      <c r="N262" s="108"/>
    </row>
    <row r="263" spans="1:14" x14ac:dyDescent="0.2">
      <c r="A263" s="3"/>
      <c r="B263" s="3"/>
      <c r="C263" s="3"/>
      <c r="D263" s="3"/>
      <c r="E263" s="3"/>
      <c r="F263" s="20"/>
      <c r="G263" s="170"/>
      <c r="L263" s="108"/>
      <c r="M263" s="108"/>
      <c r="N263" s="108"/>
    </row>
    <row r="264" spans="1:14" x14ac:dyDescent="0.2">
      <c r="A264" s="6" t="s">
        <v>117</v>
      </c>
      <c r="B264" s="6"/>
      <c r="C264" s="6"/>
      <c r="D264" s="6"/>
      <c r="E264" s="6"/>
      <c r="F264" s="21"/>
      <c r="G264" s="21"/>
    </row>
    <row r="265" spans="1:14" ht="15" customHeight="1" x14ac:dyDescent="0.2">
      <c r="A265" s="298" t="s">
        <v>118</v>
      </c>
      <c r="B265" s="298"/>
      <c r="C265" s="298"/>
      <c r="D265" s="298"/>
      <c r="E265" s="298"/>
      <c r="F265" s="299"/>
      <c r="G265" s="299"/>
      <c r="H265" s="299"/>
      <c r="I265" s="299"/>
      <c r="J265" s="299"/>
      <c r="K265" s="299"/>
    </row>
    <row r="266" spans="1:14" ht="15" customHeight="1" x14ac:dyDescent="0.2">
      <c r="A266" s="304"/>
      <c r="B266" s="300" t="s">
        <v>119</v>
      </c>
      <c r="C266" s="300"/>
      <c r="D266" s="300"/>
      <c r="E266" s="301"/>
      <c r="F266" s="277" t="s">
        <v>184</v>
      </c>
      <c r="G266" s="296"/>
      <c r="H266" s="296" t="s">
        <v>185</v>
      </c>
      <c r="I266" s="296"/>
      <c r="J266" s="296" t="s">
        <v>158</v>
      </c>
      <c r="K266" s="296"/>
    </row>
    <row r="267" spans="1:14" x14ac:dyDescent="0.2">
      <c r="A267" s="305"/>
      <c r="B267" s="302"/>
      <c r="C267" s="302"/>
      <c r="D267" s="302"/>
      <c r="E267" s="303"/>
      <c r="F267" s="273" t="s">
        <v>29</v>
      </c>
      <c r="G267" s="275"/>
      <c r="H267" s="275" t="s">
        <v>29</v>
      </c>
      <c r="I267" s="275"/>
      <c r="J267" s="275" t="s">
        <v>29</v>
      </c>
      <c r="K267" s="275"/>
    </row>
    <row r="268" spans="1:14" x14ac:dyDescent="0.2">
      <c r="A268" s="193" t="s">
        <v>4</v>
      </c>
      <c r="B268" s="316" t="s">
        <v>120</v>
      </c>
      <c r="C268" s="316"/>
      <c r="D268" s="316"/>
      <c r="E268" s="316"/>
      <c r="F268" s="297" t="e">
        <f>G262</f>
        <v>#DIV/0!</v>
      </c>
      <c r="G268" s="281"/>
      <c r="H268" s="297" t="e">
        <f>I262</f>
        <v>#DIV/0!</v>
      </c>
      <c r="I268" s="281"/>
      <c r="J268" s="297" t="e">
        <f>K262</f>
        <v>#DIV/0!</v>
      </c>
      <c r="K268" s="281"/>
    </row>
    <row r="269" spans="1:14" ht="27.75" customHeight="1" x14ac:dyDescent="0.2">
      <c r="A269" s="196" t="s">
        <v>6</v>
      </c>
      <c r="B269" s="295" t="s">
        <v>151</v>
      </c>
      <c r="C269" s="295"/>
      <c r="D269" s="295"/>
      <c r="E269" s="295"/>
      <c r="F269" s="297" t="e">
        <f>F268*$E$14</f>
        <v>#DIV/0!</v>
      </c>
      <c r="G269" s="281"/>
      <c r="H269" s="297" t="e">
        <f>H268*$E$14</f>
        <v>#DIV/0!</v>
      </c>
      <c r="I269" s="281"/>
      <c r="J269" s="297" t="e">
        <f>J268*$E$14</f>
        <v>#DIV/0!</v>
      </c>
      <c r="K269" s="281"/>
    </row>
    <row r="270" spans="1:14" x14ac:dyDescent="0.2">
      <c r="A270" s="2" t="s">
        <v>121</v>
      </c>
      <c r="B270" s="23"/>
      <c r="C270" s="23"/>
      <c r="D270" s="23"/>
      <c r="E270" s="23"/>
      <c r="F270" s="2"/>
      <c r="G270" s="2"/>
    </row>
    <row r="271" spans="1:14" x14ac:dyDescent="0.2">
      <c r="G271" s="167"/>
      <c r="I271" s="167"/>
      <c r="K271" s="167"/>
      <c r="L271" s="241" t="e">
        <f>J268/J245</f>
        <v>#DIV/0!</v>
      </c>
    </row>
    <row r="272" spans="1:14" x14ac:dyDescent="0.2">
      <c r="G272" s="167"/>
      <c r="I272" s="167"/>
      <c r="K272" s="167"/>
    </row>
    <row r="274" spans="7:11" x14ac:dyDescent="0.2">
      <c r="G274" s="167"/>
      <c r="I274" s="167"/>
      <c r="K274" s="167"/>
    </row>
    <row r="275" spans="7:11" x14ac:dyDescent="0.2">
      <c r="G275" s="167"/>
      <c r="I275" s="167"/>
      <c r="K275" s="167"/>
    </row>
    <row r="279" spans="7:11" x14ac:dyDescent="0.2">
      <c r="G279" s="168"/>
    </row>
    <row r="283" spans="7:11" x14ac:dyDescent="0.2">
      <c r="K283" s="167"/>
    </row>
  </sheetData>
  <mergeCells count="207">
    <mergeCell ref="B269:E269"/>
    <mergeCell ref="F269:G269"/>
    <mergeCell ref="H269:I269"/>
    <mergeCell ref="J269:K269"/>
    <mergeCell ref="F267:G267"/>
    <mergeCell ref="H267:I267"/>
    <mergeCell ref="J267:K267"/>
    <mergeCell ref="B268:E268"/>
    <mergeCell ref="F268:G268"/>
    <mergeCell ref="H268:I268"/>
    <mergeCell ref="J268:K268"/>
    <mergeCell ref="A259:D259"/>
    <mergeCell ref="A260:D260"/>
    <mergeCell ref="A261:D261"/>
    <mergeCell ref="A262:D262"/>
    <mergeCell ref="A265:K265"/>
    <mergeCell ref="A266:A267"/>
    <mergeCell ref="B266:E267"/>
    <mergeCell ref="F266:G266"/>
    <mergeCell ref="H266:I266"/>
    <mergeCell ref="J266:K266"/>
    <mergeCell ref="A253:D253"/>
    <mergeCell ref="A254:D254"/>
    <mergeCell ref="A255:D255"/>
    <mergeCell ref="A256:D256"/>
    <mergeCell ref="A257:D257"/>
    <mergeCell ref="A258:D258"/>
    <mergeCell ref="F249:G249"/>
    <mergeCell ref="H249:I249"/>
    <mergeCell ref="J249:K249"/>
    <mergeCell ref="A250:D250"/>
    <mergeCell ref="A251:D251"/>
    <mergeCell ref="A252:D252"/>
    <mergeCell ref="F237:G237"/>
    <mergeCell ref="H237:I237"/>
    <mergeCell ref="J237:K237"/>
    <mergeCell ref="F243:G243"/>
    <mergeCell ref="H243:I243"/>
    <mergeCell ref="J243:K243"/>
    <mergeCell ref="C225:D225"/>
    <mergeCell ref="E225:F225"/>
    <mergeCell ref="G225:H225"/>
    <mergeCell ref="F231:G231"/>
    <mergeCell ref="H231:I231"/>
    <mergeCell ref="J231:K231"/>
    <mergeCell ref="C213:D213"/>
    <mergeCell ref="E213:F213"/>
    <mergeCell ref="G213:H213"/>
    <mergeCell ref="C219:D219"/>
    <mergeCell ref="E219:F219"/>
    <mergeCell ref="G219:H219"/>
    <mergeCell ref="C201:D201"/>
    <mergeCell ref="E201:F201"/>
    <mergeCell ref="G201:H201"/>
    <mergeCell ref="C207:D207"/>
    <mergeCell ref="E207:F207"/>
    <mergeCell ref="G207:H207"/>
    <mergeCell ref="G183:H183"/>
    <mergeCell ref="C189:D189"/>
    <mergeCell ref="E189:F189"/>
    <mergeCell ref="G189:H189"/>
    <mergeCell ref="C195:D195"/>
    <mergeCell ref="E195:F195"/>
    <mergeCell ref="G195:H195"/>
    <mergeCell ref="B173:C173"/>
    <mergeCell ref="A174:C174"/>
    <mergeCell ref="B175:C175"/>
    <mergeCell ref="A176:C176"/>
    <mergeCell ref="C183:D183"/>
    <mergeCell ref="E183:F183"/>
    <mergeCell ref="A163:C163"/>
    <mergeCell ref="B168:C168"/>
    <mergeCell ref="B169:C169"/>
    <mergeCell ref="B170:C170"/>
    <mergeCell ref="B171:C171"/>
    <mergeCell ref="B172:C172"/>
    <mergeCell ref="B157:C157"/>
    <mergeCell ref="B158:C158"/>
    <mergeCell ref="B159:C159"/>
    <mergeCell ref="B160:C160"/>
    <mergeCell ref="B161:C161"/>
    <mergeCell ref="B162:C162"/>
    <mergeCell ref="H151:I151"/>
    <mergeCell ref="J151:K151"/>
    <mergeCell ref="B153:C153"/>
    <mergeCell ref="B154:C154"/>
    <mergeCell ref="B155:C155"/>
    <mergeCell ref="B156:C156"/>
    <mergeCell ref="J156:T156"/>
    <mergeCell ref="B142:C142"/>
    <mergeCell ref="B143:C143"/>
    <mergeCell ref="B144:C144"/>
    <mergeCell ref="A145:C145"/>
    <mergeCell ref="A147:G147"/>
    <mergeCell ref="A151:A152"/>
    <mergeCell ref="B151:C152"/>
    <mergeCell ref="D151:E151"/>
    <mergeCell ref="F151:G151"/>
    <mergeCell ref="B133:D133"/>
    <mergeCell ref="B134:D134"/>
    <mergeCell ref="B135:D135"/>
    <mergeCell ref="A136:D136"/>
    <mergeCell ref="B140:C140"/>
    <mergeCell ref="B141:C141"/>
    <mergeCell ref="A123:D123"/>
    <mergeCell ref="B126:D126"/>
    <mergeCell ref="B127:D127"/>
    <mergeCell ref="A128:D128"/>
    <mergeCell ref="A129:G129"/>
    <mergeCell ref="B132:D132"/>
    <mergeCell ref="A115:G115"/>
    <mergeCell ref="B118:D118"/>
    <mergeCell ref="B119:D119"/>
    <mergeCell ref="B120:D120"/>
    <mergeCell ref="B121:D121"/>
    <mergeCell ref="B122:D122"/>
    <mergeCell ref="B109:D109"/>
    <mergeCell ref="B110:D110"/>
    <mergeCell ref="B111:D111"/>
    <mergeCell ref="B112:D112"/>
    <mergeCell ref="B113:D113"/>
    <mergeCell ref="A114:D114"/>
    <mergeCell ref="A102:G102"/>
    <mergeCell ref="A103:G103"/>
    <mergeCell ref="B106:D106"/>
    <mergeCell ref="B107:D107"/>
    <mergeCell ref="G107:AA107"/>
    <mergeCell ref="B108:D108"/>
    <mergeCell ref="B93:D93"/>
    <mergeCell ref="B94:D94"/>
    <mergeCell ref="B95:D95"/>
    <mergeCell ref="B96:D96"/>
    <mergeCell ref="B97:D97"/>
    <mergeCell ref="A98:D98"/>
    <mergeCell ref="B88:D88"/>
    <mergeCell ref="B89:D89"/>
    <mergeCell ref="A90:A92"/>
    <mergeCell ref="B90:D90"/>
    <mergeCell ref="G90:V90"/>
    <mergeCell ref="B91:D91"/>
    <mergeCell ref="B92:D92"/>
    <mergeCell ref="B80:D80"/>
    <mergeCell ref="B81:D81"/>
    <mergeCell ref="B82:D82"/>
    <mergeCell ref="B83:D83"/>
    <mergeCell ref="A84:D84"/>
    <mergeCell ref="B87:D87"/>
    <mergeCell ref="B71:D71"/>
    <mergeCell ref="B72:D72"/>
    <mergeCell ref="B73:D73"/>
    <mergeCell ref="B74:D74"/>
    <mergeCell ref="A75:D75"/>
    <mergeCell ref="A77:G77"/>
    <mergeCell ref="B60:C60"/>
    <mergeCell ref="A61:D61"/>
    <mergeCell ref="A62:D62"/>
    <mergeCell ref="B68:D68"/>
    <mergeCell ref="B69:D69"/>
    <mergeCell ref="B70:D70"/>
    <mergeCell ref="B54:C54"/>
    <mergeCell ref="B55:C55"/>
    <mergeCell ref="B56:C56"/>
    <mergeCell ref="B57:C57"/>
    <mergeCell ref="B58:C58"/>
    <mergeCell ref="B59:C59"/>
    <mergeCell ref="B46:D46"/>
    <mergeCell ref="A47:D47"/>
    <mergeCell ref="A48:F48"/>
    <mergeCell ref="A49:F49"/>
    <mergeCell ref="B52:C52"/>
    <mergeCell ref="B53:C53"/>
    <mergeCell ref="B37:C37"/>
    <mergeCell ref="B38:C38"/>
    <mergeCell ref="A39:C39"/>
    <mergeCell ref="A40:E40"/>
    <mergeCell ref="B44:D44"/>
    <mergeCell ref="B45:D45"/>
    <mergeCell ref="B31:C31"/>
    <mergeCell ref="B32:C32"/>
    <mergeCell ref="B33:C33"/>
    <mergeCell ref="B34:C34"/>
    <mergeCell ref="B35:C35"/>
    <mergeCell ref="B36:C36"/>
    <mergeCell ref="A22:E22"/>
    <mergeCell ref="B23:D23"/>
    <mergeCell ref="B24:D24"/>
    <mergeCell ref="B25:D25"/>
    <mergeCell ref="B26:D26"/>
    <mergeCell ref="B27:D27"/>
    <mergeCell ref="B14:D14"/>
    <mergeCell ref="E14:F14"/>
    <mergeCell ref="A17:B17"/>
    <mergeCell ref="D17:E17"/>
    <mergeCell ref="A18:B18"/>
    <mergeCell ref="D18:E18"/>
    <mergeCell ref="B11:D11"/>
    <mergeCell ref="E11:F11"/>
    <mergeCell ref="B12:D12"/>
    <mergeCell ref="E12:F12"/>
    <mergeCell ref="B13:D13"/>
    <mergeCell ref="E13:F13"/>
    <mergeCell ref="A1:G1"/>
    <mergeCell ref="A2:G2"/>
    <mergeCell ref="B4:C4"/>
    <mergeCell ref="B5:C5"/>
    <mergeCell ref="B7:C7"/>
    <mergeCell ref="E7:F7"/>
  </mergeCells>
  <conditionalFormatting sqref="D178:G178">
    <cfRule type="cellIs" dxfId="3" priority="1" operator="equal">
      <formula>"Erro"</formula>
    </cfRule>
    <cfRule type="cellIs" dxfId="2" priority="2" operator="equal">
      <formula>"Ok"</formula>
    </cfRule>
  </conditionalFormatting>
  <printOptions horizontalCentered="1"/>
  <pageMargins left="0.23622047244094491" right="0.23622047244094491" top="0.98425196850393704" bottom="0.74803149606299213" header="0.31496062992125984" footer="0.31496062992125984"/>
  <pageSetup paperSize="9" scale="42" fitToHeight="0" orientation="landscape" r:id="rId1"/>
  <headerFooter>
    <oddFooter>&amp;R&amp;P/&amp;N</oddFooter>
  </headerFooter>
  <rowBreaks count="5" manualBreakCount="5">
    <brk id="50" max="26" man="1"/>
    <brk id="104" max="26" man="1"/>
    <brk id="148" max="26" man="1"/>
    <brk id="205" max="26" man="1"/>
    <brk id="263" max="2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3"/>
  <sheetViews>
    <sheetView showGridLines="0" view="pageBreakPreview" topLeftCell="A31" zoomScale="85" zoomScaleNormal="90" zoomScaleSheetLayoutView="85" workbookViewId="0">
      <selection activeCell="E140" sqref="E140"/>
    </sheetView>
  </sheetViews>
  <sheetFormatPr defaultRowHeight="12.75" x14ac:dyDescent="0.2"/>
  <cols>
    <col min="1" max="1" width="15.7109375" style="55" customWidth="1"/>
    <col min="2" max="2" width="19.28515625" style="55" customWidth="1"/>
    <col min="3" max="3" width="18.7109375" style="55" customWidth="1"/>
    <col min="4" max="4" width="17.85546875" style="55" customWidth="1"/>
    <col min="5" max="6" width="18.7109375" style="55" customWidth="1"/>
    <col min="7" max="7" width="15.7109375" style="55" customWidth="1"/>
    <col min="8" max="8" width="17.28515625" style="55" customWidth="1"/>
    <col min="9" max="11" width="15.85546875" style="55" customWidth="1"/>
    <col min="12" max="12" width="11.140625" style="55" customWidth="1"/>
    <col min="13" max="16384" width="9.140625" style="55"/>
  </cols>
  <sheetData>
    <row r="1" spans="1:9" x14ac:dyDescent="0.2">
      <c r="A1" s="306" t="s">
        <v>257</v>
      </c>
      <c r="B1" s="306"/>
      <c r="C1" s="306"/>
      <c r="D1" s="306"/>
      <c r="E1" s="306"/>
      <c r="F1" s="306"/>
      <c r="G1" s="306"/>
      <c r="H1" s="204"/>
    </row>
    <row r="2" spans="1:9" x14ac:dyDescent="0.2">
      <c r="A2" s="307" t="s">
        <v>0</v>
      </c>
      <c r="B2" s="307"/>
      <c r="C2" s="307"/>
      <c r="D2" s="307"/>
      <c r="E2" s="307"/>
      <c r="F2" s="307"/>
      <c r="G2" s="307"/>
      <c r="H2" s="205"/>
    </row>
    <row r="3" spans="1:9" x14ac:dyDescent="0.2">
      <c r="A3" s="2"/>
      <c r="B3" s="2"/>
      <c r="C3" s="2"/>
      <c r="D3" s="2"/>
      <c r="E3" s="2"/>
      <c r="F3" s="2"/>
      <c r="G3" s="2"/>
      <c r="H3" s="2"/>
    </row>
    <row r="4" spans="1:9" x14ac:dyDescent="0.2">
      <c r="A4" s="22" t="s">
        <v>1</v>
      </c>
      <c r="B4" s="322" t="s">
        <v>264</v>
      </c>
      <c r="C4" s="323"/>
      <c r="D4" s="19"/>
      <c r="E4" s="19"/>
      <c r="F4" s="19"/>
      <c r="G4" s="19"/>
      <c r="H4" s="19"/>
      <c r="I4" s="4"/>
    </row>
    <row r="5" spans="1:9" x14ac:dyDescent="0.2">
      <c r="A5" s="22" t="s">
        <v>2</v>
      </c>
      <c r="B5" s="324" t="s">
        <v>127</v>
      </c>
      <c r="C5" s="325"/>
      <c r="D5" s="19"/>
      <c r="E5" s="19"/>
      <c r="F5" s="19"/>
      <c r="G5" s="19"/>
      <c r="H5" s="19"/>
      <c r="I5" s="4"/>
    </row>
    <row r="7" spans="1:9" x14ac:dyDescent="0.2">
      <c r="A7" s="22" t="s">
        <v>155</v>
      </c>
      <c r="B7" s="326"/>
      <c r="C7" s="327"/>
      <c r="D7" s="22" t="s">
        <v>26</v>
      </c>
      <c r="E7" s="329" t="s">
        <v>127</v>
      </c>
      <c r="F7" s="330"/>
      <c r="G7" s="19"/>
      <c r="H7" s="19"/>
    </row>
    <row r="8" spans="1:9" x14ac:dyDescent="0.2">
      <c r="D8" s="19"/>
      <c r="E8" s="19"/>
      <c r="F8" s="19"/>
      <c r="G8" s="19"/>
      <c r="H8" s="19"/>
    </row>
    <row r="9" spans="1:9" x14ac:dyDescent="0.2">
      <c r="A9" s="2"/>
      <c r="B9" s="2"/>
      <c r="C9" s="2"/>
      <c r="D9" s="2"/>
      <c r="E9" s="2"/>
      <c r="F9" s="2"/>
      <c r="G9" s="2"/>
      <c r="H9" s="2"/>
    </row>
    <row r="10" spans="1:9" x14ac:dyDescent="0.2">
      <c r="A10" s="5" t="s">
        <v>3</v>
      </c>
      <c r="B10" s="5"/>
      <c r="C10" s="5"/>
      <c r="D10" s="5"/>
      <c r="E10" s="5"/>
      <c r="F10" s="5"/>
      <c r="G10" s="5"/>
      <c r="H10" s="5"/>
      <c r="I10" s="133"/>
    </row>
    <row r="11" spans="1:9" x14ac:dyDescent="0.2">
      <c r="A11" s="203" t="s">
        <v>4</v>
      </c>
      <c r="B11" s="295" t="s">
        <v>5</v>
      </c>
      <c r="C11" s="295"/>
      <c r="D11" s="295"/>
      <c r="E11" s="333" t="s">
        <v>127</v>
      </c>
      <c r="F11" s="333"/>
      <c r="G11" s="14"/>
    </row>
    <row r="12" spans="1:9" x14ac:dyDescent="0.2">
      <c r="A12" s="203" t="s">
        <v>6</v>
      </c>
      <c r="B12" s="295" t="s">
        <v>7</v>
      </c>
      <c r="C12" s="295"/>
      <c r="D12" s="295"/>
      <c r="E12" s="281"/>
      <c r="F12" s="281"/>
      <c r="G12" s="14"/>
    </row>
    <row r="13" spans="1:9" x14ac:dyDescent="0.2">
      <c r="A13" s="203" t="s">
        <v>8</v>
      </c>
      <c r="B13" s="295" t="s">
        <v>9</v>
      </c>
      <c r="C13" s="295"/>
      <c r="D13" s="295"/>
      <c r="E13" s="281"/>
      <c r="F13" s="281"/>
      <c r="G13" s="14"/>
    </row>
    <row r="14" spans="1:9" x14ac:dyDescent="0.2">
      <c r="A14" s="203" t="s">
        <v>10</v>
      </c>
      <c r="B14" s="295" t="s">
        <v>11</v>
      </c>
      <c r="C14" s="295"/>
      <c r="D14" s="295"/>
      <c r="E14" s="281"/>
      <c r="F14" s="281"/>
      <c r="G14" s="14"/>
    </row>
    <row r="15" spans="1:9" x14ac:dyDescent="0.2">
      <c r="A15" s="2"/>
      <c r="B15" s="2"/>
      <c r="C15" s="2"/>
      <c r="D15" s="2"/>
      <c r="E15" s="2"/>
      <c r="F15" s="2"/>
      <c r="G15" s="2"/>
      <c r="H15" s="2"/>
    </row>
    <row r="16" spans="1:9" x14ac:dyDescent="0.2">
      <c r="A16" s="5" t="s">
        <v>12</v>
      </c>
      <c r="B16" s="5"/>
      <c r="C16" s="5"/>
      <c r="D16" s="5"/>
      <c r="E16" s="5"/>
      <c r="F16" s="5"/>
      <c r="G16" s="5"/>
      <c r="H16" s="5"/>
      <c r="I16" s="133"/>
    </row>
    <row r="17" spans="1:9" s="134" customFormat="1" ht="36" customHeight="1" x14ac:dyDescent="0.2">
      <c r="A17" s="299" t="s">
        <v>13</v>
      </c>
      <c r="B17" s="299"/>
      <c r="C17" s="201" t="s">
        <v>14</v>
      </c>
      <c r="D17" s="331" t="s">
        <v>25</v>
      </c>
      <c r="E17" s="331"/>
      <c r="F17" s="16"/>
      <c r="G17" s="16"/>
    </row>
    <row r="18" spans="1:9" ht="14.25" x14ac:dyDescent="0.2">
      <c r="A18" s="281" t="s">
        <v>15</v>
      </c>
      <c r="B18" s="281"/>
      <c r="C18" s="203" t="s">
        <v>16</v>
      </c>
      <c r="D18" s="332">
        <v>19580.23</v>
      </c>
      <c r="E18" s="332"/>
      <c r="F18" s="14"/>
      <c r="G18" s="14"/>
    </row>
    <row r="19" spans="1:9" x14ac:dyDescent="0.2">
      <c r="A19" s="2"/>
      <c r="B19" s="2"/>
      <c r="C19" s="2"/>
      <c r="D19" s="2"/>
      <c r="E19" s="2"/>
      <c r="F19" s="2"/>
      <c r="G19" s="2"/>
      <c r="H19" s="2"/>
    </row>
    <row r="20" spans="1:9" x14ac:dyDescent="0.2">
      <c r="A20" s="5" t="s">
        <v>17</v>
      </c>
      <c r="B20" s="5"/>
      <c r="C20" s="5"/>
      <c r="D20" s="5"/>
      <c r="E20" s="5"/>
      <c r="F20" s="5"/>
      <c r="G20" s="5"/>
      <c r="H20" s="5"/>
      <c r="I20" s="133"/>
    </row>
    <row r="21" spans="1:9" x14ac:dyDescent="0.2">
      <c r="A21" s="5" t="s">
        <v>18</v>
      </c>
      <c r="B21" s="5"/>
      <c r="C21" s="5"/>
      <c r="D21" s="5"/>
      <c r="E21" s="5"/>
      <c r="F21" s="5"/>
      <c r="G21" s="5"/>
      <c r="H21" s="5"/>
      <c r="I21" s="133"/>
    </row>
    <row r="22" spans="1:9" ht="15.75" customHeight="1" x14ac:dyDescent="0.2">
      <c r="A22" s="331" t="s">
        <v>19</v>
      </c>
      <c r="B22" s="331"/>
      <c r="C22" s="331"/>
      <c r="D22" s="331"/>
      <c r="E22" s="331"/>
      <c r="F22" s="15"/>
      <c r="G22" s="15"/>
    </row>
    <row r="23" spans="1:9" ht="25.5" x14ac:dyDescent="0.2">
      <c r="A23" s="203">
        <v>1</v>
      </c>
      <c r="B23" s="308" t="s">
        <v>20</v>
      </c>
      <c r="C23" s="311"/>
      <c r="D23" s="309"/>
      <c r="E23" s="203" t="s">
        <v>15</v>
      </c>
      <c r="G23" s="14"/>
    </row>
    <row r="24" spans="1:9" ht="15" customHeight="1" x14ac:dyDescent="0.2">
      <c r="A24" s="203">
        <v>2</v>
      </c>
      <c r="B24" s="308" t="s">
        <v>21</v>
      </c>
      <c r="C24" s="311"/>
      <c r="D24" s="309"/>
      <c r="E24" s="203"/>
      <c r="G24" s="14"/>
    </row>
    <row r="25" spans="1:9" ht="15" customHeight="1" x14ac:dyDescent="0.2">
      <c r="A25" s="203">
        <v>3</v>
      </c>
      <c r="B25" s="308" t="s">
        <v>22</v>
      </c>
      <c r="C25" s="311"/>
      <c r="D25" s="309"/>
      <c r="E25" s="33"/>
      <c r="F25" s="169"/>
      <c r="G25" s="14"/>
    </row>
    <row r="26" spans="1:9" ht="27.75" customHeight="1" x14ac:dyDescent="0.2">
      <c r="A26" s="203">
        <v>4</v>
      </c>
      <c r="B26" s="308" t="s">
        <v>23</v>
      </c>
      <c r="C26" s="311"/>
      <c r="D26" s="309"/>
      <c r="E26" s="135"/>
      <c r="G26" s="14"/>
    </row>
    <row r="27" spans="1:9" ht="15" customHeight="1" x14ac:dyDescent="0.2">
      <c r="A27" s="203">
        <v>5</v>
      </c>
      <c r="B27" s="308" t="s">
        <v>24</v>
      </c>
      <c r="C27" s="311"/>
      <c r="D27" s="309"/>
      <c r="E27" s="136"/>
      <c r="G27" s="14"/>
    </row>
    <row r="28" spans="1:9" x14ac:dyDescent="0.2">
      <c r="A28" s="23" t="s">
        <v>204</v>
      </c>
      <c r="B28" s="3"/>
      <c r="C28" s="3"/>
      <c r="D28" s="3"/>
      <c r="E28" s="3"/>
      <c r="G28" s="3"/>
      <c r="H28" s="3"/>
    </row>
    <row r="29" spans="1:9" x14ac:dyDescent="0.2">
      <c r="B29" s="5"/>
      <c r="C29" s="5"/>
      <c r="D29" s="5"/>
      <c r="E29" s="5"/>
      <c r="F29" s="5"/>
      <c r="G29" s="5"/>
      <c r="H29" s="5"/>
      <c r="I29" s="133"/>
    </row>
    <row r="30" spans="1:9" x14ac:dyDescent="0.2">
      <c r="A30" s="5" t="s">
        <v>27</v>
      </c>
      <c r="B30" s="5"/>
      <c r="C30" s="5"/>
      <c r="D30" s="5"/>
      <c r="E30" s="5"/>
      <c r="F30" s="5"/>
      <c r="G30" s="5"/>
      <c r="H30" s="5"/>
      <c r="I30" s="133"/>
    </row>
    <row r="31" spans="1:9" ht="26.25" customHeight="1" x14ac:dyDescent="0.2">
      <c r="A31" s="201">
        <v>1</v>
      </c>
      <c r="B31" s="312" t="s">
        <v>28</v>
      </c>
      <c r="C31" s="313"/>
      <c r="D31" s="201" t="s">
        <v>156</v>
      </c>
      <c r="E31" s="201" t="s">
        <v>29</v>
      </c>
      <c r="F31" s="16"/>
      <c r="G31" s="16"/>
      <c r="H31" s="137"/>
    </row>
    <row r="32" spans="1:9" x14ac:dyDescent="0.2">
      <c r="A32" s="203" t="s">
        <v>4</v>
      </c>
      <c r="B32" s="308" t="s">
        <v>30</v>
      </c>
      <c r="C32" s="311"/>
      <c r="D32" s="10" t="s">
        <v>127</v>
      </c>
      <c r="E32" s="34">
        <f>E25</f>
        <v>0</v>
      </c>
      <c r="F32" s="14"/>
      <c r="G32" s="14"/>
      <c r="H32" s="137"/>
    </row>
    <row r="33" spans="1:9" ht="15" customHeight="1" x14ac:dyDescent="0.2">
      <c r="A33" s="203" t="s">
        <v>6</v>
      </c>
      <c r="B33" s="308" t="s">
        <v>31</v>
      </c>
      <c r="C33" s="311"/>
      <c r="D33" s="36">
        <v>0</v>
      </c>
      <c r="E33" s="34">
        <f t="shared" ref="E33:E38" si="0">$E$32*D33</f>
        <v>0</v>
      </c>
      <c r="F33" s="14"/>
      <c r="G33" s="14"/>
      <c r="H33" s="137"/>
    </row>
    <row r="34" spans="1:9" ht="15" customHeight="1" x14ac:dyDescent="0.2">
      <c r="A34" s="203" t="s">
        <v>8</v>
      </c>
      <c r="B34" s="308" t="s">
        <v>32</v>
      </c>
      <c r="C34" s="311"/>
      <c r="D34" s="36">
        <v>0</v>
      </c>
      <c r="E34" s="34">
        <f t="shared" si="0"/>
        <v>0</v>
      </c>
      <c r="F34" s="14"/>
      <c r="G34" s="14"/>
      <c r="H34" s="137"/>
    </row>
    <row r="35" spans="1:9" x14ac:dyDescent="0.2">
      <c r="A35" s="203" t="s">
        <v>10</v>
      </c>
      <c r="B35" s="308" t="s">
        <v>33</v>
      </c>
      <c r="C35" s="311"/>
      <c r="D35" s="36">
        <v>0</v>
      </c>
      <c r="E35" s="34">
        <f t="shared" si="0"/>
        <v>0</v>
      </c>
      <c r="F35" s="14"/>
      <c r="G35" s="14"/>
      <c r="H35" s="137"/>
    </row>
    <row r="36" spans="1:9" ht="15" customHeight="1" x14ac:dyDescent="0.2">
      <c r="A36" s="203" t="s">
        <v>34</v>
      </c>
      <c r="B36" s="308" t="s">
        <v>35</v>
      </c>
      <c r="C36" s="311"/>
      <c r="D36" s="36">
        <v>0</v>
      </c>
      <c r="E36" s="34">
        <f t="shared" si="0"/>
        <v>0</v>
      </c>
      <c r="F36" s="14"/>
      <c r="G36" s="14"/>
      <c r="H36" s="137"/>
    </row>
    <row r="37" spans="1:9" ht="23.25" customHeight="1" x14ac:dyDescent="0.2">
      <c r="A37" s="203" t="s">
        <v>36</v>
      </c>
      <c r="B37" s="308" t="s">
        <v>37</v>
      </c>
      <c r="C37" s="311"/>
      <c r="D37" s="36">
        <v>0</v>
      </c>
      <c r="E37" s="34">
        <f t="shared" si="0"/>
        <v>0</v>
      </c>
      <c r="F37" s="14"/>
      <c r="G37" s="14"/>
      <c r="H37" s="137"/>
    </row>
    <row r="38" spans="1:9" x14ac:dyDescent="0.2">
      <c r="A38" s="203" t="s">
        <v>38</v>
      </c>
      <c r="B38" s="308" t="s">
        <v>39</v>
      </c>
      <c r="C38" s="311"/>
      <c r="D38" s="36">
        <v>0</v>
      </c>
      <c r="E38" s="34">
        <f t="shared" si="0"/>
        <v>0</v>
      </c>
      <c r="F38" s="14"/>
      <c r="G38" s="14"/>
      <c r="H38" s="137"/>
    </row>
    <row r="39" spans="1:9" x14ac:dyDescent="0.2">
      <c r="A39" s="312" t="s">
        <v>40</v>
      </c>
      <c r="B39" s="313"/>
      <c r="C39" s="313"/>
      <c r="D39" s="27" t="s">
        <v>127</v>
      </c>
      <c r="E39" s="35">
        <f>SUM(E32:E38)</f>
        <v>0</v>
      </c>
      <c r="F39" s="15"/>
      <c r="G39" s="15"/>
      <c r="H39" s="15"/>
    </row>
    <row r="40" spans="1:9" ht="27" customHeight="1" x14ac:dyDescent="0.2">
      <c r="A40" s="328" t="str">
        <f>CONCATENATE("Nota: O Módulo 1 refere-se ao valor mensal devido ao empregado pela prestação do serviço no período de ",E14," meses.")</f>
        <v>Nota: O Módulo 1 refere-se ao valor mensal devido ao empregado pela prestação do serviço no período de  meses.</v>
      </c>
      <c r="B40" s="328"/>
      <c r="C40" s="328"/>
      <c r="D40" s="328"/>
      <c r="E40" s="328"/>
      <c r="F40" s="30"/>
      <c r="G40" s="30"/>
    </row>
    <row r="41" spans="1:9" x14ac:dyDescent="0.2">
      <c r="B41" s="5"/>
      <c r="C41" s="5"/>
      <c r="D41" s="5"/>
      <c r="E41" s="5"/>
      <c r="F41" s="5"/>
      <c r="G41" s="5"/>
      <c r="H41" s="5"/>
      <c r="I41" s="133"/>
    </row>
    <row r="42" spans="1:9" x14ac:dyDescent="0.2">
      <c r="A42" s="5" t="s">
        <v>41</v>
      </c>
      <c r="B42" s="5"/>
      <c r="C42" s="5"/>
      <c r="D42" s="5"/>
      <c r="E42" s="5"/>
      <c r="F42" s="5"/>
      <c r="G42" s="5"/>
      <c r="H42" s="5"/>
      <c r="I42" s="133"/>
    </row>
    <row r="43" spans="1:9" x14ac:dyDescent="0.2">
      <c r="A43" s="5" t="s">
        <v>42</v>
      </c>
      <c r="B43" s="5"/>
      <c r="C43" s="5"/>
      <c r="D43" s="5"/>
      <c r="E43" s="5"/>
      <c r="F43" s="5"/>
      <c r="G43" s="5"/>
      <c r="H43" s="5"/>
      <c r="I43" s="133"/>
    </row>
    <row r="44" spans="1:9" ht="51" x14ac:dyDescent="0.2">
      <c r="A44" s="202" t="s">
        <v>43</v>
      </c>
      <c r="B44" s="296" t="s">
        <v>44</v>
      </c>
      <c r="C44" s="296"/>
      <c r="D44" s="296"/>
      <c r="E44" s="202" t="s">
        <v>159</v>
      </c>
      <c r="F44" s="74"/>
      <c r="G44" s="16"/>
    </row>
    <row r="45" spans="1:9" ht="15" customHeight="1" x14ac:dyDescent="0.2">
      <c r="A45" s="203" t="s">
        <v>4</v>
      </c>
      <c r="B45" s="295" t="s">
        <v>45</v>
      </c>
      <c r="C45" s="295"/>
      <c r="D45" s="295"/>
      <c r="E45" s="34">
        <f>E39/12</f>
        <v>0</v>
      </c>
      <c r="F45" s="87" t="s">
        <v>239</v>
      </c>
      <c r="G45" s="14"/>
    </row>
    <row r="46" spans="1:9" ht="15" customHeight="1" x14ac:dyDescent="0.2">
      <c r="A46" s="203" t="s">
        <v>6</v>
      </c>
      <c r="B46" s="295" t="s">
        <v>46</v>
      </c>
      <c r="C46" s="295"/>
      <c r="D46" s="295"/>
      <c r="E46" s="34">
        <f>(E39/12)+((E39*1/3)/12)</f>
        <v>0</v>
      </c>
      <c r="F46" s="87" t="s">
        <v>240</v>
      </c>
      <c r="G46" s="14"/>
    </row>
    <row r="47" spans="1:9" x14ac:dyDescent="0.2">
      <c r="A47" s="299" t="s">
        <v>40</v>
      </c>
      <c r="B47" s="299"/>
      <c r="C47" s="299"/>
      <c r="D47" s="299"/>
      <c r="E47" s="35">
        <f>SUM(E45:E46)</f>
        <v>0</v>
      </c>
      <c r="F47" s="75"/>
      <c r="G47" s="15"/>
    </row>
    <row r="48" spans="1:9" s="139" customFormat="1" ht="31.5" customHeight="1" x14ac:dyDescent="0.2">
      <c r="A48" s="334" t="s">
        <v>205</v>
      </c>
      <c r="B48" s="334"/>
      <c r="C48" s="334"/>
      <c r="D48" s="334"/>
      <c r="E48" s="334"/>
      <c r="F48" s="334"/>
      <c r="G48" s="30"/>
      <c r="H48" s="115"/>
      <c r="I48" s="138"/>
    </row>
    <row r="49" spans="1:12" s="139" customFormat="1" ht="31.5" customHeight="1" x14ac:dyDescent="0.2">
      <c r="A49" s="315" t="s">
        <v>206</v>
      </c>
      <c r="B49" s="315"/>
      <c r="C49" s="315"/>
      <c r="D49" s="315"/>
      <c r="E49" s="315"/>
      <c r="F49" s="315"/>
      <c r="G49" s="30"/>
      <c r="H49" s="31"/>
      <c r="I49" s="138"/>
    </row>
    <row r="50" spans="1:12" x14ac:dyDescent="0.2">
      <c r="A50" s="2"/>
      <c r="B50" s="2"/>
      <c r="C50" s="2"/>
      <c r="D50" s="2"/>
      <c r="E50" s="2"/>
      <c r="F50" s="2"/>
      <c r="G50" s="2"/>
    </row>
    <row r="51" spans="1:12" x14ac:dyDescent="0.2">
      <c r="A51" s="5" t="s">
        <v>47</v>
      </c>
      <c r="B51" s="5"/>
      <c r="C51" s="5"/>
      <c r="D51" s="5"/>
      <c r="E51" s="5"/>
      <c r="F51" s="5"/>
      <c r="G51" s="5"/>
      <c r="H51" s="5"/>
      <c r="I51" s="133"/>
    </row>
    <row r="52" spans="1:12" ht="38.25" x14ac:dyDescent="0.2">
      <c r="A52" s="202" t="s">
        <v>48</v>
      </c>
      <c r="B52" s="296" t="s">
        <v>49</v>
      </c>
      <c r="C52" s="296"/>
      <c r="D52" s="202" t="s">
        <v>50</v>
      </c>
      <c r="E52" s="202" t="s">
        <v>157</v>
      </c>
      <c r="F52" s="202" t="s">
        <v>158</v>
      </c>
      <c r="G52" s="210"/>
    </row>
    <row r="53" spans="1:12" x14ac:dyDescent="0.2">
      <c r="A53" s="203" t="s">
        <v>4</v>
      </c>
      <c r="B53" s="295" t="s">
        <v>51</v>
      </c>
      <c r="C53" s="295"/>
      <c r="D53" s="29">
        <v>0.2</v>
      </c>
      <c r="E53" s="34">
        <f>(E39*D53)+(E47*D53)</f>
        <v>0</v>
      </c>
      <c r="F53" s="34">
        <f>(E39*D53)+(E47*D53)</f>
        <v>0</v>
      </c>
      <c r="G53" s="87" t="s">
        <v>231</v>
      </c>
    </row>
    <row r="54" spans="1:12" x14ac:dyDescent="0.2">
      <c r="A54" s="203" t="s">
        <v>6</v>
      </c>
      <c r="B54" s="295" t="s">
        <v>52</v>
      </c>
      <c r="C54" s="295"/>
      <c r="D54" s="29">
        <v>2.5000000000000001E-2</v>
      </c>
      <c r="E54" s="34">
        <f>(E39+E47)*D54</f>
        <v>0</v>
      </c>
      <c r="F54" s="34" t="s">
        <v>127</v>
      </c>
      <c r="G54" s="87" t="s">
        <v>232</v>
      </c>
    </row>
    <row r="55" spans="1:12" x14ac:dyDescent="0.2">
      <c r="A55" s="203" t="s">
        <v>8</v>
      </c>
      <c r="B55" s="295" t="s">
        <v>53</v>
      </c>
      <c r="C55" s="295"/>
      <c r="D55" s="92">
        <v>0.02</v>
      </c>
      <c r="E55" s="34">
        <f>(E47+E39)*D55</f>
        <v>0</v>
      </c>
      <c r="F55" s="34">
        <f>(E47+E39)*D55</f>
        <v>0</v>
      </c>
      <c r="G55" s="87" t="s">
        <v>233</v>
      </c>
      <c r="H55" s="140"/>
      <c r="I55" s="108"/>
      <c r="J55" s="108"/>
    </row>
    <row r="56" spans="1:12" x14ac:dyDescent="0.2">
      <c r="A56" s="203" t="s">
        <v>10</v>
      </c>
      <c r="B56" s="295" t="s">
        <v>54</v>
      </c>
      <c r="C56" s="295"/>
      <c r="D56" s="105">
        <v>1.4999999999999999E-2</v>
      </c>
      <c r="E56" s="34">
        <f>(E47+E39)*D56</f>
        <v>0</v>
      </c>
      <c r="F56" s="34" t="s">
        <v>127</v>
      </c>
      <c r="G56" s="87" t="s">
        <v>234</v>
      </c>
      <c r="H56" s="56"/>
    </row>
    <row r="57" spans="1:12" x14ac:dyDescent="0.2">
      <c r="A57" s="203" t="s">
        <v>34</v>
      </c>
      <c r="B57" s="295" t="s">
        <v>55</v>
      </c>
      <c r="C57" s="295"/>
      <c r="D57" s="29">
        <v>0.01</v>
      </c>
      <c r="E57" s="34">
        <f>(E39+E47)*D57</f>
        <v>0</v>
      </c>
      <c r="F57" s="34" t="s">
        <v>127</v>
      </c>
      <c r="G57" s="87" t="s">
        <v>235</v>
      </c>
      <c r="H57" s="56"/>
    </row>
    <row r="58" spans="1:12" x14ac:dyDescent="0.2">
      <c r="A58" s="203" t="s">
        <v>36</v>
      </c>
      <c r="B58" s="295" t="s">
        <v>56</v>
      </c>
      <c r="C58" s="295"/>
      <c r="D58" s="29">
        <v>6.0000000000000001E-3</v>
      </c>
      <c r="E58" s="34">
        <f>(E39+E47)*D58</f>
        <v>0</v>
      </c>
      <c r="F58" s="34" t="s">
        <v>127</v>
      </c>
      <c r="G58" s="87" t="s">
        <v>236</v>
      </c>
      <c r="H58" s="56"/>
    </row>
    <row r="59" spans="1:12" x14ac:dyDescent="0.2">
      <c r="A59" s="203" t="s">
        <v>38</v>
      </c>
      <c r="B59" s="295" t="s">
        <v>57</v>
      </c>
      <c r="C59" s="295"/>
      <c r="D59" s="29">
        <v>2E-3</v>
      </c>
      <c r="E59" s="34">
        <f>(E39+E47)*D59</f>
        <v>0</v>
      </c>
      <c r="F59" s="34" t="s">
        <v>127</v>
      </c>
      <c r="G59" s="87" t="s">
        <v>237</v>
      </c>
      <c r="H59" s="56"/>
    </row>
    <row r="60" spans="1:12" x14ac:dyDescent="0.2">
      <c r="A60" s="203" t="s">
        <v>58</v>
      </c>
      <c r="B60" s="295" t="s">
        <v>59</v>
      </c>
      <c r="C60" s="295"/>
      <c r="D60" s="29">
        <v>0.08</v>
      </c>
      <c r="E60" s="34">
        <f>(E39+E47)*D60</f>
        <v>0</v>
      </c>
      <c r="F60" s="34">
        <f>(E39+E47)*D60</f>
        <v>0</v>
      </c>
      <c r="G60" s="87" t="s">
        <v>238</v>
      </c>
      <c r="H60" s="56"/>
    </row>
    <row r="61" spans="1:12" x14ac:dyDescent="0.2">
      <c r="A61" s="299" t="s">
        <v>60</v>
      </c>
      <c r="B61" s="299"/>
      <c r="C61" s="299"/>
      <c r="D61" s="299"/>
      <c r="E61" s="38">
        <f>SUM(E53:E60)</f>
        <v>0</v>
      </c>
      <c r="F61" s="38">
        <f>SUM(F53:F60)</f>
        <v>0</v>
      </c>
      <c r="G61" s="76"/>
      <c r="H61" s="141"/>
      <c r="I61" s="142"/>
      <c r="J61" s="108"/>
      <c r="K61" s="143"/>
      <c r="L61" s="108"/>
    </row>
    <row r="62" spans="1:12" x14ac:dyDescent="0.2">
      <c r="A62" s="299" t="s">
        <v>161</v>
      </c>
      <c r="B62" s="299"/>
      <c r="C62" s="299"/>
      <c r="D62" s="299"/>
      <c r="E62" s="44" t="e">
        <f>E61/(E39+E47)</f>
        <v>#DIV/0!</v>
      </c>
      <c r="F62" s="44" t="e">
        <f>F61/(E39+E47)</f>
        <v>#DIV/0!</v>
      </c>
      <c r="G62" s="77"/>
      <c r="H62" s="108"/>
      <c r="I62" s="108"/>
      <c r="J62" s="108"/>
      <c r="K62" s="108"/>
      <c r="L62" s="108"/>
    </row>
    <row r="63" spans="1:12" x14ac:dyDescent="0.2">
      <c r="A63" s="23" t="s">
        <v>207</v>
      </c>
      <c r="B63" s="5"/>
      <c r="C63" s="5"/>
      <c r="D63" s="5"/>
      <c r="E63" s="5"/>
      <c r="F63" s="5"/>
      <c r="G63" s="5"/>
      <c r="H63" s="54"/>
      <c r="I63" s="144"/>
      <c r="J63" s="108"/>
      <c r="K63" s="108"/>
      <c r="L63" s="108"/>
    </row>
    <row r="64" spans="1:12" x14ac:dyDescent="0.2">
      <c r="A64" s="23" t="s">
        <v>208</v>
      </c>
      <c r="B64" s="5"/>
      <c r="C64" s="5"/>
      <c r="D64" s="5"/>
      <c r="E64" s="5"/>
      <c r="F64" s="5"/>
      <c r="G64" s="5"/>
      <c r="H64" s="5"/>
      <c r="I64" s="133"/>
    </row>
    <row r="65" spans="1:9" x14ac:dyDescent="0.2">
      <c r="A65" s="23" t="s">
        <v>209</v>
      </c>
      <c r="B65" s="5"/>
      <c r="C65" s="5"/>
      <c r="D65" s="5"/>
      <c r="E65" s="5"/>
      <c r="F65" s="5"/>
      <c r="G65" s="5"/>
      <c r="H65" s="5"/>
      <c r="I65" s="133"/>
    </row>
    <row r="66" spans="1:9" x14ac:dyDescent="0.2">
      <c r="A66" s="5"/>
      <c r="B66" s="5"/>
      <c r="C66" s="5"/>
      <c r="D66" s="5"/>
      <c r="E66" s="5"/>
      <c r="F66" s="5"/>
      <c r="G66" s="5"/>
      <c r="H66" s="5"/>
      <c r="I66" s="133"/>
    </row>
    <row r="67" spans="1:9" x14ac:dyDescent="0.2">
      <c r="A67" s="5" t="s">
        <v>61</v>
      </c>
      <c r="B67" s="5"/>
      <c r="C67" s="5"/>
      <c r="D67" s="5"/>
      <c r="E67" s="5"/>
      <c r="F67" s="5"/>
      <c r="G67" s="5"/>
      <c r="H67" s="5"/>
      <c r="I67" s="133"/>
    </row>
    <row r="68" spans="1:9" x14ac:dyDescent="0.2">
      <c r="A68" s="202" t="s">
        <v>62</v>
      </c>
      <c r="B68" s="296" t="s">
        <v>63</v>
      </c>
      <c r="C68" s="296"/>
      <c r="D68" s="296"/>
      <c r="E68" s="202" t="s">
        <v>29</v>
      </c>
      <c r="F68" s="39"/>
      <c r="G68" s="16"/>
    </row>
    <row r="69" spans="1:9" x14ac:dyDescent="0.2">
      <c r="A69" s="203" t="s">
        <v>4</v>
      </c>
      <c r="B69" s="308" t="s">
        <v>64</v>
      </c>
      <c r="C69" s="311"/>
      <c r="D69" s="309"/>
      <c r="E69" s="91">
        <f>'2.3-Transporte'!B9</f>
        <v>0</v>
      </c>
      <c r="F69" s="87" t="s">
        <v>220</v>
      </c>
      <c r="G69" s="14"/>
    </row>
    <row r="70" spans="1:9" ht="15.75" customHeight="1" x14ac:dyDescent="0.2">
      <c r="A70" s="203" t="s">
        <v>6</v>
      </c>
      <c r="B70" s="308" t="s">
        <v>65</v>
      </c>
      <c r="C70" s="311"/>
      <c r="D70" s="309"/>
      <c r="E70" s="91">
        <f>'2.3-Aux. Refeição-Alimentação'!B6</f>
        <v>0</v>
      </c>
      <c r="F70" s="87" t="s">
        <v>250</v>
      </c>
      <c r="G70" s="14"/>
    </row>
    <row r="71" spans="1:9" ht="15.75" customHeight="1" x14ac:dyDescent="0.2">
      <c r="A71" s="203" t="s">
        <v>8</v>
      </c>
      <c r="B71" s="308" t="s">
        <v>66</v>
      </c>
      <c r="C71" s="311"/>
      <c r="D71" s="309"/>
      <c r="E71" s="91">
        <v>0</v>
      </c>
      <c r="F71" s="87" t="s">
        <v>226</v>
      </c>
      <c r="G71" s="14"/>
    </row>
    <row r="72" spans="1:9" ht="29.25" customHeight="1" x14ac:dyDescent="0.2">
      <c r="A72" s="203" t="s">
        <v>10</v>
      </c>
      <c r="B72" s="308" t="s">
        <v>246</v>
      </c>
      <c r="C72" s="311"/>
      <c r="D72" s="309"/>
      <c r="E72" s="91"/>
      <c r="F72" s="87"/>
      <c r="G72" s="14"/>
    </row>
    <row r="73" spans="1:9" x14ac:dyDescent="0.2">
      <c r="A73" s="203" t="s">
        <v>34</v>
      </c>
      <c r="B73" s="308" t="s">
        <v>247</v>
      </c>
      <c r="C73" s="311"/>
      <c r="D73" s="309"/>
      <c r="E73" s="91"/>
      <c r="F73" s="104" t="s">
        <v>230</v>
      </c>
      <c r="G73" s="14"/>
    </row>
    <row r="74" spans="1:9" ht="27" customHeight="1" x14ac:dyDescent="0.2">
      <c r="A74" s="203" t="s">
        <v>36</v>
      </c>
      <c r="B74" s="308" t="s">
        <v>263</v>
      </c>
      <c r="C74" s="311"/>
      <c r="D74" s="309"/>
      <c r="E74" s="91" t="e">
        <f>'2.3-Transporte'!B16</f>
        <v>#DIV/0!</v>
      </c>
      <c r="F74" s="87"/>
      <c r="G74" s="14"/>
    </row>
    <row r="75" spans="1:9" ht="17.25" customHeight="1" x14ac:dyDescent="0.2">
      <c r="A75" s="299" t="s">
        <v>40</v>
      </c>
      <c r="B75" s="299"/>
      <c r="C75" s="299"/>
      <c r="D75" s="299"/>
      <c r="E75" s="35" t="e">
        <f>SUM(E69:E74)</f>
        <v>#DIV/0!</v>
      </c>
      <c r="F75" s="15"/>
      <c r="G75" s="15"/>
    </row>
    <row r="76" spans="1:9" x14ac:dyDescent="0.2">
      <c r="A76" s="23" t="s">
        <v>210</v>
      </c>
      <c r="B76" s="23"/>
      <c r="C76" s="23"/>
      <c r="D76" s="23"/>
      <c r="E76" s="23"/>
      <c r="F76" s="23"/>
      <c r="G76" s="23"/>
      <c r="H76" s="5"/>
      <c r="I76" s="133"/>
    </row>
    <row r="77" spans="1:9" ht="26.25" customHeight="1" x14ac:dyDescent="0.2">
      <c r="A77" s="315" t="s">
        <v>211</v>
      </c>
      <c r="B77" s="315"/>
      <c r="C77" s="315"/>
      <c r="D77" s="315"/>
      <c r="E77" s="315"/>
      <c r="F77" s="315"/>
      <c r="G77" s="315"/>
      <c r="H77" s="5"/>
      <c r="I77" s="133"/>
    </row>
    <row r="78" spans="1:9" x14ac:dyDescent="0.2">
      <c r="A78" s="5"/>
      <c r="B78" s="5"/>
      <c r="C78" s="5"/>
      <c r="D78" s="5"/>
      <c r="E78" s="5"/>
      <c r="F78" s="5"/>
      <c r="G78" s="5"/>
      <c r="H78" s="5"/>
      <c r="I78" s="133"/>
    </row>
    <row r="79" spans="1:9" x14ac:dyDescent="0.2">
      <c r="A79" s="5" t="s">
        <v>67</v>
      </c>
      <c r="B79" s="5"/>
      <c r="C79" s="5"/>
      <c r="D79" s="5"/>
      <c r="E79" s="5"/>
      <c r="F79" s="5"/>
      <c r="G79" s="78"/>
      <c r="H79" s="5"/>
      <c r="I79" s="133"/>
    </row>
    <row r="80" spans="1:9" ht="38.25" x14ac:dyDescent="0.2">
      <c r="A80" s="202">
        <v>2</v>
      </c>
      <c r="B80" s="296" t="s">
        <v>68</v>
      </c>
      <c r="C80" s="296"/>
      <c r="D80" s="296"/>
      <c r="E80" s="202" t="s">
        <v>157</v>
      </c>
      <c r="F80" s="202" t="s">
        <v>158</v>
      </c>
      <c r="G80" s="210"/>
    </row>
    <row r="81" spans="1:22" x14ac:dyDescent="0.2">
      <c r="A81" s="203" t="s">
        <v>43</v>
      </c>
      <c r="B81" s="295" t="s">
        <v>44</v>
      </c>
      <c r="C81" s="295"/>
      <c r="D81" s="295"/>
      <c r="E81" s="37">
        <f>E47</f>
        <v>0</v>
      </c>
      <c r="F81" s="37">
        <f>E47</f>
        <v>0</v>
      </c>
      <c r="G81" s="79"/>
    </row>
    <row r="82" spans="1:22" x14ac:dyDescent="0.2">
      <c r="A82" s="203" t="s">
        <v>48</v>
      </c>
      <c r="B82" s="295" t="s">
        <v>49</v>
      </c>
      <c r="C82" s="295"/>
      <c r="D82" s="295"/>
      <c r="E82" s="37">
        <f>E61</f>
        <v>0</v>
      </c>
      <c r="F82" s="37">
        <f>F61</f>
        <v>0</v>
      </c>
      <c r="G82" s="79"/>
    </row>
    <row r="83" spans="1:22" x14ac:dyDescent="0.2">
      <c r="A83" s="203" t="s">
        <v>62</v>
      </c>
      <c r="B83" s="295" t="s">
        <v>63</v>
      </c>
      <c r="C83" s="295"/>
      <c r="D83" s="295"/>
      <c r="E83" s="37" t="e">
        <f>E75</f>
        <v>#DIV/0!</v>
      </c>
      <c r="F83" s="37" t="e">
        <f>E75</f>
        <v>#DIV/0!</v>
      </c>
      <c r="G83" s="79"/>
    </row>
    <row r="84" spans="1:22" x14ac:dyDescent="0.2">
      <c r="A84" s="312" t="s">
        <v>40</v>
      </c>
      <c r="B84" s="313"/>
      <c r="C84" s="313"/>
      <c r="D84" s="314"/>
      <c r="E84" s="38" t="e">
        <f>SUM(E81:E83)</f>
        <v>#DIV/0!</v>
      </c>
      <c r="F84" s="38" t="e">
        <f>SUM(F81:F83)</f>
        <v>#DIV/0!</v>
      </c>
      <c r="G84" s="113"/>
    </row>
    <row r="85" spans="1:22" x14ac:dyDescent="0.2">
      <c r="A85" s="3"/>
      <c r="B85" s="3"/>
      <c r="C85" s="3"/>
      <c r="D85" s="3"/>
      <c r="E85" s="3"/>
      <c r="F85" s="3"/>
      <c r="G85" s="3"/>
    </row>
    <row r="86" spans="1:22" x14ac:dyDescent="0.2">
      <c r="A86" s="107" t="s">
        <v>69</v>
      </c>
      <c r="B86" s="106"/>
      <c r="C86" s="106"/>
      <c r="D86" s="106"/>
      <c r="E86" s="106"/>
      <c r="F86" s="106"/>
      <c r="G86" s="5"/>
      <c r="H86" s="5"/>
      <c r="I86" s="133"/>
    </row>
    <row r="87" spans="1:22" ht="38.25" x14ac:dyDescent="0.2">
      <c r="A87" s="202">
        <v>3</v>
      </c>
      <c r="B87" s="296" t="s">
        <v>70</v>
      </c>
      <c r="C87" s="296"/>
      <c r="D87" s="296"/>
      <c r="E87" s="202" t="s">
        <v>157</v>
      </c>
      <c r="F87" s="202" t="s">
        <v>158</v>
      </c>
      <c r="G87" s="210"/>
      <c r="H87" s="16"/>
    </row>
    <row r="88" spans="1:22" s="139" customFormat="1" x14ac:dyDescent="0.2">
      <c r="A88" s="48" t="s">
        <v>4</v>
      </c>
      <c r="B88" s="347" t="s">
        <v>71</v>
      </c>
      <c r="C88" s="347"/>
      <c r="D88" s="347"/>
      <c r="E88" s="91">
        <f>(E39/12)*5%</f>
        <v>0</v>
      </c>
      <c r="F88" s="91">
        <f>(E39/12)*5%</f>
        <v>0</v>
      </c>
      <c r="G88" s="45" t="s">
        <v>241</v>
      </c>
      <c r="H88" s="45"/>
      <c r="I88" s="145"/>
      <c r="J88" s="145"/>
      <c r="K88" s="145"/>
      <c r="L88" s="145"/>
      <c r="M88" s="145"/>
      <c r="N88" s="145"/>
    </row>
    <row r="89" spans="1:22" s="139" customFormat="1" x14ac:dyDescent="0.2">
      <c r="A89" s="48" t="s">
        <v>6</v>
      </c>
      <c r="B89" s="347" t="s">
        <v>72</v>
      </c>
      <c r="C89" s="347"/>
      <c r="D89" s="347"/>
      <c r="E89" s="91">
        <f>E88*8%</f>
        <v>0</v>
      </c>
      <c r="F89" s="91">
        <f>F88*8%</f>
        <v>0</v>
      </c>
      <c r="G89" s="45" t="s">
        <v>160</v>
      </c>
      <c r="H89" s="45"/>
    </row>
    <row r="90" spans="1:22" s="139" customFormat="1" ht="27" customHeight="1" x14ac:dyDescent="0.2">
      <c r="A90" s="269" t="s">
        <v>8</v>
      </c>
      <c r="B90" s="295" t="s">
        <v>73</v>
      </c>
      <c r="C90" s="295"/>
      <c r="D90" s="295"/>
      <c r="E90" s="91">
        <f>E91+E92</f>
        <v>0</v>
      </c>
      <c r="F90" s="91">
        <f>F91+F92</f>
        <v>0</v>
      </c>
      <c r="G90" s="340" t="s">
        <v>249</v>
      </c>
      <c r="H90" s="341"/>
      <c r="I90" s="341"/>
      <c r="J90" s="341"/>
      <c r="K90" s="341"/>
      <c r="L90" s="341"/>
      <c r="M90" s="341"/>
      <c r="N90" s="341"/>
      <c r="O90" s="341"/>
      <c r="P90" s="341"/>
      <c r="Q90" s="341"/>
      <c r="R90" s="341"/>
      <c r="S90" s="341"/>
      <c r="T90" s="341"/>
      <c r="U90" s="341"/>
      <c r="V90" s="341"/>
    </row>
    <row r="91" spans="1:22" s="139" customFormat="1" x14ac:dyDescent="0.2">
      <c r="A91" s="270"/>
      <c r="B91" s="335" t="s">
        <v>162</v>
      </c>
      <c r="C91" s="336"/>
      <c r="D91" s="337"/>
      <c r="E91" s="146">
        <f>(((E39+E45+E46)*40%)*8%)*0%</f>
        <v>0</v>
      </c>
      <c r="F91" s="146">
        <f>(((E39+E45+E46)*40%)*8%)*0%</f>
        <v>0</v>
      </c>
      <c r="G91" s="45"/>
      <c r="H91" s="45"/>
    </row>
    <row r="92" spans="1:22" s="139" customFormat="1" ht="15" customHeight="1" x14ac:dyDescent="0.2">
      <c r="A92" s="271"/>
      <c r="B92" s="335" t="s">
        <v>163</v>
      </c>
      <c r="C92" s="336"/>
      <c r="D92" s="337"/>
      <c r="E92" s="146">
        <f>(((E39+E45+E46)*10%)*8%)*0%</f>
        <v>0</v>
      </c>
      <c r="F92" s="146">
        <f>(((E39+E45+E46)*10%)*8%)*0%</f>
        <v>0</v>
      </c>
      <c r="G92" s="45"/>
      <c r="H92" s="45"/>
    </row>
    <row r="93" spans="1:22" s="139" customFormat="1" x14ac:dyDescent="0.2">
      <c r="A93" s="203" t="s">
        <v>10</v>
      </c>
      <c r="B93" s="295" t="s">
        <v>74</v>
      </c>
      <c r="C93" s="295"/>
      <c r="D93" s="295"/>
      <c r="E93" s="34">
        <f>(((E39/30)/12)*7)*100%</f>
        <v>0</v>
      </c>
      <c r="F93" s="34">
        <f>(((E39/30)/12)*7)*100%</f>
        <v>0</v>
      </c>
      <c r="G93" s="45" t="s">
        <v>251</v>
      </c>
      <c r="H93" s="45"/>
    </row>
    <row r="94" spans="1:22" s="139" customFormat="1" ht="29.25" customHeight="1" x14ac:dyDescent="0.2">
      <c r="A94" s="207" t="s">
        <v>34</v>
      </c>
      <c r="B94" s="348" t="s">
        <v>75</v>
      </c>
      <c r="C94" s="348"/>
      <c r="D94" s="348"/>
      <c r="E94" s="34" t="e">
        <f>E93*E62</f>
        <v>#DIV/0!</v>
      </c>
      <c r="F94" s="34" t="e">
        <f>F93*F62</f>
        <v>#DIV/0!</v>
      </c>
      <c r="G94" s="45" t="s">
        <v>227</v>
      </c>
      <c r="H94" s="209"/>
    </row>
    <row r="95" spans="1:22" s="139" customFormat="1" ht="29.25" customHeight="1" x14ac:dyDescent="0.2">
      <c r="A95" s="41" t="s">
        <v>36</v>
      </c>
      <c r="B95" s="295" t="s">
        <v>76</v>
      </c>
      <c r="C95" s="295"/>
      <c r="D95" s="295"/>
      <c r="E95" s="40">
        <f>SUM(E96:E97)</f>
        <v>0</v>
      </c>
      <c r="F95" s="34">
        <f>SUM(F96:F97)</f>
        <v>0</v>
      </c>
      <c r="G95" s="45" t="s">
        <v>228</v>
      </c>
      <c r="H95" s="209"/>
    </row>
    <row r="96" spans="1:22" s="139" customFormat="1" x14ac:dyDescent="0.2">
      <c r="A96" s="42"/>
      <c r="B96" s="342" t="s">
        <v>162</v>
      </c>
      <c r="C96" s="342"/>
      <c r="D96" s="342"/>
      <c r="E96" s="146">
        <f>(((E39+E45+E46)*40%)*8%)*100%</f>
        <v>0</v>
      </c>
      <c r="F96" s="147">
        <f>(((E39+E45+E46)*40%)*8%)*100%</f>
        <v>0</v>
      </c>
      <c r="G96" s="45" t="s">
        <v>164</v>
      </c>
      <c r="H96" s="45"/>
    </row>
    <row r="97" spans="1:27" s="139" customFormat="1" x14ac:dyDescent="0.2">
      <c r="A97" s="43"/>
      <c r="B97" s="342" t="s">
        <v>163</v>
      </c>
      <c r="C97" s="342"/>
      <c r="D97" s="342"/>
      <c r="E97" s="146">
        <f>(((E39+E45+E46)*10%)*8%)*100%</f>
        <v>0</v>
      </c>
      <c r="F97" s="147">
        <f>(((E39+E45+E46)*10%)*8%)*100%</f>
        <v>0</v>
      </c>
      <c r="G97" s="45" t="s">
        <v>229</v>
      </c>
      <c r="H97" s="14"/>
    </row>
    <row r="98" spans="1:27" x14ac:dyDescent="0.2">
      <c r="A98" s="320" t="s">
        <v>40</v>
      </c>
      <c r="B98" s="349"/>
      <c r="C98" s="349"/>
      <c r="D98" s="321"/>
      <c r="E98" s="35" t="e">
        <f>SUM(E88,E89,E90,E93,E94,E95)</f>
        <v>#DIV/0!</v>
      </c>
      <c r="F98" s="35" t="e">
        <f>SUM(F88,F89,F90,F93,F94,F95)</f>
        <v>#DIV/0!</v>
      </c>
      <c r="G98" s="76"/>
      <c r="H98" s="15"/>
    </row>
    <row r="99" spans="1:27" x14ac:dyDescent="0.2">
      <c r="A99" s="2"/>
      <c r="B99" s="2"/>
      <c r="C99" s="2"/>
      <c r="D99" s="2"/>
      <c r="E99" s="2"/>
      <c r="F99" s="2"/>
      <c r="G99" s="2"/>
    </row>
    <row r="100" spans="1:27" x14ac:dyDescent="0.2">
      <c r="A100" s="6" t="s">
        <v>77</v>
      </c>
      <c r="B100" s="6"/>
      <c r="C100" s="6"/>
      <c r="D100" s="6"/>
      <c r="E100" s="117"/>
      <c r="F100" s="6"/>
      <c r="G100" s="6"/>
      <c r="H100" s="5"/>
      <c r="I100" s="133"/>
    </row>
    <row r="101" spans="1:27" ht="8.25" customHeight="1" x14ac:dyDescent="0.2">
      <c r="A101" s="5"/>
      <c r="B101" s="5"/>
      <c r="C101" s="5"/>
      <c r="D101" s="5"/>
      <c r="E101" s="5"/>
      <c r="F101" s="5"/>
      <c r="G101" s="5"/>
      <c r="H101" s="5"/>
      <c r="I101" s="133"/>
    </row>
    <row r="102" spans="1:27" s="139" customFormat="1" ht="41.25" customHeight="1" x14ac:dyDescent="0.2">
      <c r="A102" s="315" t="s">
        <v>212</v>
      </c>
      <c r="B102" s="315"/>
      <c r="C102" s="315"/>
      <c r="D102" s="315"/>
      <c r="E102" s="315"/>
      <c r="F102" s="315"/>
      <c r="G102" s="315"/>
      <c r="H102" s="31"/>
      <c r="I102" s="138"/>
    </row>
    <row r="103" spans="1:27" s="139" customFormat="1" x14ac:dyDescent="0.2">
      <c r="A103" s="315" t="s">
        <v>213</v>
      </c>
      <c r="B103" s="315"/>
      <c r="C103" s="315"/>
      <c r="D103" s="315"/>
      <c r="E103" s="315"/>
      <c r="F103" s="315"/>
      <c r="G103" s="315"/>
      <c r="H103" s="31"/>
      <c r="I103" s="138"/>
    </row>
    <row r="104" spans="1:27" x14ac:dyDescent="0.2">
      <c r="A104" s="5"/>
      <c r="B104" s="5"/>
      <c r="C104" s="5"/>
      <c r="D104" s="5"/>
      <c r="E104" s="5"/>
      <c r="F104" s="5"/>
      <c r="G104" s="5"/>
      <c r="H104" s="5"/>
      <c r="I104" s="133"/>
    </row>
    <row r="105" spans="1:27" x14ac:dyDescent="0.2">
      <c r="A105" s="5" t="s">
        <v>78</v>
      </c>
      <c r="B105" s="5"/>
      <c r="C105" s="5"/>
      <c r="D105" s="5"/>
      <c r="E105" s="5"/>
      <c r="F105" s="5"/>
      <c r="G105" s="5"/>
      <c r="H105" s="116"/>
      <c r="I105" s="133"/>
    </row>
    <row r="106" spans="1:27" ht="38.25" x14ac:dyDescent="0.2">
      <c r="A106" s="201" t="s">
        <v>79</v>
      </c>
      <c r="B106" s="299" t="s">
        <v>80</v>
      </c>
      <c r="C106" s="299"/>
      <c r="D106" s="299"/>
      <c r="E106" s="202" t="s">
        <v>157</v>
      </c>
      <c r="F106" s="202" t="s">
        <v>158</v>
      </c>
      <c r="G106" s="210"/>
      <c r="H106" s="114"/>
    </row>
    <row r="107" spans="1:27" ht="74.25" customHeight="1" x14ac:dyDescent="0.2">
      <c r="A107" s="203" t="s">
        <v>4</v>
      </c>
      <c r="B107" s="295" t="s">
        <v>81</v>
      </c>
      <c r="C107" s="295"/>
      <c r="D107" s="295"/>
      <c r="E107" s="132">
        <v>0</v>
      </c>
      <c r="F107" s="132">
        <v>0</v>
      </c>
      <c r="G107" s="338" t="s">
        <v>252</v>
      </c>
      <c r="H107" s="339"/>
      <c r="I107" s="339"/>
      <c r="J107" s="339"/>
      <c r="K107" s="339"/>
      <c r="L107" s="339"/>
      <c r="M107" s="339"/>
      <c r="N107" s="339"/>
      <c r="O107" s="339"/>
      <c r="P107" s="339"/>
      <c r="Q107" s="339"/>
      <c r="R107" s="339"/>
      <c r="S107" s="339"/>
      <c r="T107" s="339"/>
      <c r="U107" s="339"/>
      <c r="V107" s="339"/>
      <c r="W107" s="339"/>
      <c r="X107" s="339"/>
      <c r="Y107" s="339"/>
      <c r="Z107" s="339"/>
      <c r="AA107" s="339"/>
    </row>
    <row r="108" spans="1:27" x14ac:dyDescent="0.2">
      <c r="A108" s="203" t="s">
        <v>6</v>
      </c>
      <c r="B108" s="295" t="s">
        <v>80</v>
      </c>
      <c r="C108" s="295"/>
      <c r="D108" s="295"/>
      <c r="E108" s="34">
        <f>((E39/30)/12)*1</f>
        <v>0</v>
      </c>
      <c r="F108" s="34">
        <f>((E39/30)/12)*1</f>
        <v>0</v>
      </c>
      <c r="G108" s="45" t="s">
        <v>180</v>
      </c>
      <c r="H108" s="45"/>
    </row>
    <row r="109" spans="1:27" x14ac:dyDescent="0.2">
      <c r="A109" s="203" t="s">
        <v>8</v>
      </c>
      <c r="B109" s="295" t="s">
        <v>82</v>
      </c>
      <c r="C109" s="295"/>
      <c r="D109" s="295"/>
      <c r="E109" s="34">
        <f>(((E39/30)/12*5)*1.5%)</f>
        <v>0</v>
      </c>
      <c r="F109" s="34">
        <f>(((E39/30)/12*5)*1.5%)</f>
        <v>0</v>
      </c>
      <c r="G109" s="45" t="s">
        <v>181</v>
      </c>
      <c r="H109" s="45"/>
    </row>
    <row r="110" spans="1:27" ht="15" customHeight="1" x14ac:dyDescent="0.2">
      <c r="A110" s="203" t="s">
        <v>10</v>
      </c>
      <c r="B110" s="295" t="s">
        <v>83</v>
      </c>
      <c r="C110" s="295"/>
      <c r="D110" s="295"/>
      <c r="E110" s="34">
        <f>(((E39/30)/12)*15)*8%</f>
        <v>0</v>
      </c>
      <c r="F110" s="34">
        <f>(((E39/30)/12)*15)*8%</f>
        <v>0</v>
      </c>
      <c r="G110" s="45" t="s">
        <v>165</v>
      </c>
      <c r="H110" s="45"/>
    </row>
    <row r="111" spans="1:27" ht="15" customHeight="1" x14ac:dyDescent="0.2">
      <c r="A111" s="203" t="s">
        <v>34</v>
      </c>
      <c r="B111" s="295" t="s">
        <v>84</v>
      </c>
      <c r="C111" s="295"/>
      <c r="D111" s="295"/>
      <c r="E111" s="34" t="s">
        <v>127</v>
      </c>
      <c r="F111" s="34" t="s">
        <v>127</v>
      </c>
      <c r="G111" s="45" t="s">
        <v>168</v>
      </c>
      <c r="H111" s="45"/>
    </row>
    <row r="112" spans="1:27" x14ac:dyDescent="0.2">
      <c r="A112" s="203" t="s">
        <v>36</v>
      </c>
      <c r="B112" s="295" t="s">
        <v>39</v>
      </c>
      <c r="C112" s="295"/>
      <c r="D112" s="295"/>
      <c r="E112" s="34">
        <f>(((E39/30)/12)*5*40%)</f>
        <v>0</v>
      </c>
      <c r="F112" s="34">
        <f>(((E39/30)/12)*5*40%)</f>
        <v>0</v>
      </c>
      <c r="G112" s="46" t="s">
        <v>182</v>
      </c>
      <c r="H112" s="46"/>
    </row>
    <row r="113" spans="1:9" ht="26.25" customHeight="1" x14ac:dyDescent="0.2">
      <c r="A113" s="203" t="s">
        <v>38</v>
      </c>
      <c r="B113" s="295" t="s">
        <v>166</v>
      </c>
      <c r="C113" s="295"/>
      <c r="D113" s="295"/>
      <c r="E113" s="34" t="e">
        <f>(E108+E109+E110+E112)*E62</f>
        <v>#DIV/0!</v>
      </c>
      <c r="F113" s="34" t="e">
        <f>(F108+F109+F110+F112)*F62</f>
        <v>#DIV/0!</v>
      </c>
      <c r="G113" s="45" t="s">
        <v>167</v>
      </c>
      <c r="H113" s="45"/>
    </row>
    <row r="114" spans="1:9" x14ac:dyDescent="0.2">
      <c r="A114" s="299" t="s">
        <v>40</v>
      </c>
      <c r="B114" s="299"/>
      <c r="C114" s="299"/>
      <c r="D114" s="299"/>
      <c r="E114" s="35" t="e">
        <f>SUM(E107:E113)</f>
        <v>#DIV/0!</v>
      </c>
      <c r="F114" s="35" t="e">
        <f>SUM(F107:F113)</f>
        <v>#DIV/0!</v>
      </c>
      <c r="G114" s="76"/>
      <c r="H114" s="15"/>
    </row>
    <row r="115" spans="1:9" ht="31.5" customHeight="1" x14ac:dyDescent="0.2">
      <c r="A115" s="315" t="s">
        <v>214</v>
      </c>
      <c r="B115" s="315"/>
      <c r="C115" s="315"/>
      <c r="D115" s="315"/>
      <c r="E115" s="315"/>
      <c r="F115" s="315"/>
      <c r="G115" s="315"/>
    </row>
    <row r="116" spans="1:9" x14ac:dyDescent="0.2">
      <c r="B116" s="5"/>
      <c r="C116" s="5"/>
      <c r="D116" s="5"/>
      <c r="E116" s="5"/>
      <c r="F116" s="5"/>
      <c r="G116" s="5"/>
      <c r="H116" s="39"/>
      <c r="I116" s="133"/>
    </row>
    <row r="117" spans="1:9" s="108" customFormat="1" x14ac:dyDescent="0.2">
      <c r="A117" s="54" t="s">
        <v>170</v>
      </c>
      <c r="B117" s="54"/>
      <c r="C117" s="54"/>
      <c r="D117" s="54"/>
      <c r="E117" s="54"/>
      <c r="F117" s="54"/>
      <c r="G117" s="54"/>
      <c r="H117" s="39"/>
      <c r="I117" s="144"/>
    </row>
    <row r="118" spans="1:9" ht="38.25" x14ac:dyDescent="0.2">
      <c r="A118" s="201" t="s">
        <v>174</v>
      </c>
      <c r="B118" s="299" t="s">
        <v>175</v>
      </c>
      <c r="C118" s="299"/>
      <c r="D118" s="299"/>
      <c r="E118" s="202" t="s">
        <v>157</v>
      </c>
      <c r="F118" s="202" t="s">
        <v>158</v>
      </c>
      <c r="G118" s="210"/>
      <c r="H118" s="39"/>
      <c r="I118" s="133"/>
    </row>
    <row r="119" spans="1:9" x14ac:dyDescent="0.2">
      <c r="A119" s="203" t="s">
        <v>4</v>
      </c>
      <c r="B119" s="295" t="s">
        <v>169</v>
      </c>
      <c r="C119" s="295"/>
      <c r="D119" s="295"/>
      <c r="E119" s="34">
        <f>(((E39+(E39*1/3))*(4/12))/12)*2%</f>
        <v>0</v>
      </c>
      <c r="F119" s="34">
        <f>(((E39+(E39*1/3))*(4/12))/12)*2%</f>
        <v>0</v>
      </c>
      <c r="G119" s="45" t="s">
        <v>178</v>
      </c>
      <c r="H119" s="45"/>
      <c r="I119" s="133"/>
    </row>
    <row r="120" spans="1:9" ht="26.25" customHeight="1" x14ac:dyDescent="0.2">
      <c r="A120" s="203" t="s">
        <v>6</v>
      </c>
      <c r="B120" s="295" t="s">
        <v>171</v>
      </c>
      <c r="C120" s="295"/>
      <c r="D120" s="295"/>
      <c r="E120" s="34" t="e">
        <f>E119*E62</f>
        <v>#DIV/0!</v>
      </c>
      <c r="F120" s="34" t="e">
        <f>F119*F62</f>
        <v>#DIV/0!</v>
      </c>
      <c r="G120" s="45" t="s">
        <v>176</v>
      </c>
      <c r="H120" s="45"/>
      <c r="I120" s="133"/>
    </row>
    <row r="121" spans="1:9" ht="44.25" customHeight="1" x14ac:dyDescent="0.2">
      <c r="A121" s="203" t="s">
        <v>8</v>
      </c>
      <c r="B121" s="295" t="s">
        <v>172</v>
      </c>
      <c r="C121" s="295"/>
      <c r="D121" s="295"/>
      <c r="E121" s="34" t="e">
        <f>(((E39+E45)*(4/12))*2%)*E62</f>
        <v>#DIV/0!</v>
      </c>
      <c r="F121" s="34" t="e">
        <f>(((E39+E45)*(4/12))*2%)*F62</f>
        <v>#DIV/0!</v>
      </c>
      <c r="G121" s="45" t="s">
        <v>179</v>
      </c>
      <c r="H121" s="45"/>
      <c r="I121" s="133"/>
    </row>
    <row r="122" spans="1:9" x14ac:dyDescent="0.2">
      <c r="A122" s="203" t="s">
        <v>10</v>
      </c>
      <c r="B122" s="295" t="s">
        <v>173</v>
      </c>
      <c r="C122" s="295"/>
      <c r="D122" s="295"/>
      <c r="E122" s="34" t="s">
        <v>127</v>
      </c>
      <c r="F122" s="34" t="s">
        <v>127</v>
      </c>
      <c r="G122" s="76"/>
      <c r="H122" s="39"/>
      <c r="I122" s="133"/>
    </row>
    <row r="123" spans="1:9" ht="15" customHeight="1" x14ac:dyDescent="0.2">
      <c r="A123" s="299" t="s">
        <v>40</v>
      </c>
      <c r="B123" s="299"/>
      <c r="C123" s="299"/>
      <c r="D123" s="299"/>
      <c r="E123" s="35" t="e">
        <f>SUM(E119:E122)</f>
        <v>#DIV/0!</v>
      </c>
      <c r="F123" s="35" t="e">
        <f>SUM(F119:F122)</f>
        <v>#DIV/0!</v>
      </c>
      <c r="G123" s="76"/>
      <c r="H123" s="39"/>
      <c r="I123" s="133"/>
    </row>
    <row r="124" spans="1:9" ht="15" customHeight="1" x14ac:dyDescent="0.2">
      <c r="B124" s="5"/>
      <c r="C124" s="5"/>
      <c r="D124" s="5"/>
      <c r="E124" s="5"/>
      <c r="F124" s="5"/>
      <c r="G124" s="5"/>
      <c r="H124" s="39"/>
      <c r="I124" s="133"/>
    </row>
    <row r="125" spans="1:9" x14ac:dyDescent="0.2">
      <c r="A125" s="5" t="s">
        <v>85</v>
      </c>
      <c r="B125" s="5"/>
      <c r="C125" s="5"/>
      <c r="D125" s="5"/>
      <c r="E125" s="5"/>
      <c r="F125" s="5"/>
      <c r="G125" s="5"/>
      <c r="H125" s="5"/>
      <c r="I125" s="133"/>
    </row>
    <row r="126" spans="1:9" ht="38.25" x14ac:dyDescent="0.2">
      <c r="A126" s="201" t="s">
        <v>86</v>
      </c>
      <c r="B126" s="312" t="s">
        <v>87</v>
      </c>
      <c r="C126" s="313"/>
      <c r="D126" s="314"/>
      <c r="E126" s="202" t="s">
        <v>157</v>
      </c>
      <c r="F126" s="202" t="s">
        <v>158</v>
      </c>
      <c r="G126" s="210"/>
    </row>
    <row r="127" spans="1:9" ht="15" customHeight="1" x14ac:dyDescent="0.2">
      <c r="A127" s="203" t="s">
        <v>4</v>
      </c>
      <c r="B127" s="308" t="s">
        <v>88</v>
      </c>
      <c r="C127" s="311"/>
      <c r="D127" s="309"/>
      <c r="E127" s="51" t="s">
        <v>127</v>
      </c>
      <c r="F127" s="48" t="s">
        <v>127</v>
      </c>
      <c r="G127" s="45" t="s">
        <v>177</v>
      </c>
      <c r="H127" s="45"/>
    </row>
    <row r="128" spans="1:9" x14ac:dyDescent="0.2">
      <c r="A128" s="312" t="s">
        <v>40</v>
      </c>
      <c r="B128" s="313"/>
      <c r="C128" s="313"/>
      <c r="D128" s="314"/>
      <c r="E128" s="28" t="str">
        <f>E127</f>
        <v>-</v>
      </c>
      <c r="F128" s="28" t="str">
        <f>F127</f>
        <v>-</v>
      </c>
      <c r="G128" s="80"/>
    </row>
    <row r="129" spans="1:9" ht="29.25" customHeight="1" x14ac:dyDescent="0.2">
      <c r="A129" s="315" t="s">
        <v>215</v>
      </c>
      <c r="B129" s="315"/>
      <c r="C129" s="315"/>
      <c r="D129" s="315"/>
      <c r="E129" s="315"/>
      <c r="F129" s="315"/>
      <c r="G129" s="315"/>
    </row>
    <row r="130" spans="1:9" x14ac:dyDescent="0.2">
      <c r="B130" s="5"/>
      <c r="C130" s="5"/>
      <c r="D130" s="5"/>
      <c r="E130" s="5"/>
      <c r="F130" s="5"/>
      <c r="G130" s="5"/>
      <c r="H130" s="5"/>
      <c r="I130" s="133"/>
    </row>
    <row r="131" spans="1:9" x14ac:dyDescent="0.2">
      <c r="A131" s="5" t="s">
        <v>89</v>
      </c>
      <c r="B131" s="5"/>
      <c r="C131" s="5"/>
      <c r="D131" s="5"/>
      <c r="E131" s="5"/>
      <c r="F131" s="5"/>
      <c r="G131" s="5"/>
      <c r="H131" s="5"/>
      <c r="I131" s="133"/>
    </row>
    <row r="132" spans="1:9" ht="38.25" x14ac:dyDescent="0.2">
      <c r="A132" s="202">
        <v>4</v>
      </c>
      <c r="B132" s="276" t="s">
        <v>90</v>
      </c>
      <c r="C132" s="310"/>
      <c r="D132" s="277"/>
      <c r="E132" s="202" t="s">
        <v>157</v>
      </c>
      <c r="F132" s="202" t="s">
        <v>158</v>
      </c>
      <c r="G132" s="210"/>
    </row>
    <row r="133" spans="1:9" x14ac:dyDescent="0.2">
      <c r="A133" s="203" t="s">
        <v>79</v>
      </c>
      <c r="B133" s="308" t="s">
        <v>80</v>
      </c>
      <c r="C133" s="311"/>
      <c r="D133" s="309"/>
      <c r="E133" s="34" t="e">
        <f>E114</f>
        <v>#DIV/0!</v>
      </c>
      <c r="F133" s="34" t="e">
        <f>F114</f>
        <v>#DIV/0!</v>
      </c>
      <c r="G133" s="76"/>
    </row>
    <row r="134" spans="1:9" ht="15" customHeight="1" x14ac:dyDescent="0.2">
      <c r="A134" s="203" t="s">
        <v>174</v>
      </c>
      <c r="B134" s="308" t="s">
        <v>183</v>
      </c>
      <c r="C134" s="311"/>
      <c r="D134" s="309"/>
      <c r="E134" s="49" t="e">
        <f>E123</f>
        <v>#DIV/0!</v>
      </c>
      <c r="F134" s="49" t="e">
        <f>F123</f>
        <v>#DIV/0!</v>
      </c>
      <c r="G134" s="81"/>
    </row>
    <row r="135" spans="1:9" x14ac:dyDescent="0.2">
      <c r="A135" s="203" t="s">
        <v>86</v>
      </c>
      <c r="B135" s="308" t="s">
        <v>87</v>
      </c>
      <c r="C135" s="311"/>
      <c r="D135" s="309"/>
      <c r="E135" s="49" t="str">
        <f>E128</f>
        <v>-</v>
      </c>
      <c r="F135" s="49" t="str">
        <f>F128</f>
        <v>-</v>
      </c>
      <c r="G135" s="81"/>
    </row>
    <row r="136" spans="1:9" x14ac:dyDescent="0.2">
      <c r="A136" s="312" t="s">
        <v>40</v>
      </c>
      <c r="B136" s="313"/>
      <c r="C136" s="313"/>
      <c r="D136" s="314"/>
      <c r="E136" s="50" t="e">
        <f>SUM(E133:E135)</f>
        <v>#DIV/0!</v>
      </c>
      <c r="F136" s="50" t="e">
        <f>SUM(F133:F135)</f>
        <v>#DIV/0!</v>
      </c>
      <c r="G136" s="82"/>
    </row>
    <row r="137" spans="1:9" x14ac:dyDescent="0.2">
      <c r="A137" s="3"/>
      <c r="B137" s="3"/>
      <c r="C137" s="3"/>
      <c r="D137" s="3"/>
      <c r="E137" s="3"/>
      <c r="F137" s="3"/>
      <c r="G137" s="3"/>
    </row>
    <row r="138" spans="1:9" x14ac:dyDescent="0.2">
      <c r="A138" s="6" t="s">
        <v>91</v>
      </c>
      <c r="B138" s="6"/>
      <c r="C138" s="6"/>
      <c r="D138" s="6"/>
      <c r="E138" s="6"/>
      <c r="F138" s="6"/>
      <c r="G138" s="6"/>
      <c r="H138" s="5"/>
      <c r="I138" s="133"/>
    </row>
    <row r="139" spans="1:9" x14ac:dyDescent="0.2">
      <c r="A139" s="3"/>
      <c r="B139" s="3"/>
      <c r="C139" s="3"/>
      <c r="D139" s="3"/>
      <c r="E139" s="3"/>
      <c r="F139" s="3"/>
      <c r="G139" s="3"/>
    </row>
    <row r="140" spans="1:9" x14ac:dyDescent="0.2">
      <c r="A140" s="201">
        <v>5</v>
      </c>
      <c r="B140" s="299" t="s">
        <v>92</v>
      </c>
      <c r="C140" s="299"/>
      <c r="D140" s="201" t="s">
        <v>29</v>
      </c>
      <c r="E140" s="16"/>
      <c r="F140" s="16"/>
      <c r="G140" s="16"/>
    </row>
    <row r="141" spans="1:9" x14ac:dyDescent="0.2">
      <c r="A141" s="203" t="s">
        <v>4</v>
      </c>
      <c r="B141" s="295" t="s">
        <v>244</v>
      </c>
      <c r="C141" s="295"/>
      <c r="D141" s="91" t="e">
        <f>'ANEXO VI-Uniformes e EPIs'!G18</f>
        <v>#DIV/0!</v>
      </c>
      <c r="E141" s="45" t="s">
        <v>415</v>
      </c>
      <c r="F141" s="14"/>
      <c r="G141" s="14"/>
    </row>
    <row r="142" spans="1:9" x14ac:dyDescent="0.2">
      <c r="A142" s="203" t="s">
        <v>6</v>
      </c>
      <c r="B142" s="295" t="s">
        <v>242</v>
      </c>
      <c r="C142" s="295"/>
      <c r="D142" s="91" t="e">
        <f>'ANEXO III-Materiais e Produtos'!H43/17</f>
        <v>#DIV/0!</v>
      </c>
      <c r="E142" s="45" t="s">
        <v>413</v>
      </c>
      <c r="F142" s="14"/>
      <c r="G142" s="14"/>
    </row>
    <row r="143" spans="1:9" x14ac:dyDescent="0.2">
      <c r="A143" s="203" t="s">
        <v>8</v>
      </c>
      <c r="B143" s="295" t="s">
        <v>243</v>
      </c>
      <c r="C143" s="295"/>
      <c r="D143" s="91" t="e">
        <f>'ANEXO IV-Equip. e Utensílios'!G38/17</f>
        <v>#DIV/0!</v>
      </c>
      <c r="E143" s="45" t="s">
        <v>414</v>
      </c>
      <c r="F143" s="14"/>
      <c r="G143" s="14"/>
    </row>
    <row r="144" spans="1:9" x14ac:dyDescent="0.2">
      <c r="A144" s="203" t="s">
        <v>34</v>
      </c>
      <c r="B144" s="295" t="s">
        <v>39</v>
      </c>
      <c r="C144" s="295"/>
      <c r="D144" s="91">
        <v>0</v>
      </c>
      <c r="E144" s="45"/>
      <c r="F144" s="14"/>
      <c r="G144" s="14"/>
    </row>
    <row r="145" spans="1:21" x14ac:dyDescent="0.2">
      <c r="A145" s="299" t="s">
        <v>40</v>
      </c>
      <c r="B145" s="299"/>
      <c r="C145" s="299"/>
      <c r="D145" s="35" t="e">
        <f>SUM(D141:D144)</f>
        <v>#DIV/0!</v>
      </c>
      <c r="E145" s="15"/>
      <c r="F145" s="15"/>
      <c r="G145" s="15"/>
    </row>
    <row r="146" spans="1:21" x14ac:dyDescent="0.2">
      <c r="A146" s="23" t="s">
        <v>216</v>
      </c>
      <c r="B146" s="23"/>
      <c r="C146" s="23"/>
      <c r="D146" s="23"/>
      <c r="E146" s="23"/>
      <c r="F146" s="23"/>
      <c r="G146" s="23"/>
      <c r="H146" s="5"/>
      <c r="I146" s="133"/>
    </row>
    <row r="147" spans="1:21" ht="31.5" customHeight="1" x14ac:dyDescent="0.2">
      <c r="A147" s="315" t="s">
        <v>418</v>
      </c>
      <c r="B147" s="315"/>
      <c r="C147" s="315"/>
      <c r="D147" s="315"/>
      <c r="E147" s="315"/>
      <c r="F147" s="315"/>
      <c r="G147" s="315"/>
      <c r="H147" s="5"/>
      <c r="I147" s="133"/>
    </row>
    <row r="148" spans="1:21" x14ac:dyDescent="0.2">
      <c r="A148" s="5"/>
      <c r="B148" s="5"/>
      <c r="C148" s="5"/>
      <c r="D148" s="5"/>
      <c r="E148" s="5"/>
      <c r="F148" s="5"/>
      <c r="G148" s="5"/>
      <c r="H148" s="5"/>
      <c r="I148" s="133"/>
    </row>
    <row r="149" spans="1:21" x14ac:dyDescent="0.2">
      <c r="A149" s="6" t="s">
        <v>93</v>
      </c>
      <c r="B149" s="6"/>
      <c r="C149" s="6"/>
      <c r="D149" s="6"/>
      <c r="E149" s="6"/>
      <c r="F149" s="6"/>
      <c r="G149" s="6"/>
      <c r="H149" s="5"/>
      <c r="I149" s="133"/>
    </row>
    <row r="150" spans="1:21" x14ac:dyDescent="0.2">
      <c r="A150" s="3"/>
      <c r="B150" s="3"/>
      <c r="C150" s="3"/>
      <c r="D150" s="3"/>
      <c r="E150" s="3"/>
      <c r="F150" s="3"/>
      <c r="G150" s="3"/>
    </row>
    <row r="151" spans="1:21" ht="27" customHeight="1" x14ac:dyDescent="0.2">
      <c r="A151" s="298">
        <v>6</v>
      </c>
      <c r="B151" s="318" t="s">
        <v>94</v>
      </c>
      <c r="C151" s="319"/>
      <c r="D151" s="296" t="s">
        <v>184</v>
      </c>
      <c r="E151" s="296"/>
      <c r="F151" s="296" t="s">
        <v>185</v>
      </c>
      <c r="G151" s="296"/>
      <c r="H151" s="296" t="s">
        <v>158</v>
      </c>
      <c r="I151" s="296"/>
      <c r="J151" s="343"/>
      <c r="K151" s="343"/>
    </row>
    <row r="152" spans="1:21" x14ac:dyDescent="0.2">
      <c r="A152" s="317"/>
      <c r="B152" s="320"/>
      <c r="C152" s="321"/>
      <c r="D152" s="202" t="s">
        <v>186</v>
      </c>
      <c r="E152" s="202" t="s">
        <v>187</v>
      </c>
      <c r="F152" s="202" t="s">
        <v>186</v>
      </c>
      <c r="G152" s="202" t="s">
        <v>187</v>
      </c>
      <c r="H152" s="202" t="s">
        <v>186</v>
      </c>
      <c r="I152" s="202" t="s">
        <v>187</v>
      </c>
      <c r="J152" s="210"/>
      <c r="K152" s="210"/>
    </row>
    <row r="153" spans="1:21" x14ac:dyDescent="0.2">
      <c r="A153" s="203" t="s">
        <v>4</v>
      </c>
      <c r="B153" s="308" t="s">
        <v>95</v>
      </c>
      <c r="C153" s="309"/>
      <c r="D153" s="148">
        <v>0</v>
      </c>
      <c r="E153" s="91" t="e">
        <f>(E39+E84+E98+E136+D145)*D153</f>
        <v>#DIV/0!</v>
      </c>
      <c r="F153" s="148">
        <f>D153</f>
        <v>0</v>
      </c>
      <c r="G153" s="91" t="e">
        <f>(E39+E84+E98+E136+D145)*F153</f>
        <v>#DIV/0!</v>
      </c>
      <c r="H153" s="148">
        <f>F153</f>
        <v>0</v>
      </c>
      <c r="I153" s="91" t="e">
        <f>(E39+F84+F98+F136+D145)*H153</f>
        <v>#DIV/0!</v>
      </c>
      <c r="J153" s="45" t="s">
        <v>416</v>
      </c>
      <c r="K153" s="108"/>
      <c r="L153" s="108"/>
      <c r="M153" s="108"/>
      <c r="N153" s="108"/>
      <c r="O153" s="108"/>
      <c r="P153" s="108"/>
      <c r="Q153" s="108"/>
      <c r="R153" s="108"/>
      <c r="S153" s="108"/>
      <c r="T153" s="108"/>
    </row>
    <row r="154" spans="1:21" x14ac:dyDescent="0.2">
      <c r="A154" s="203" t="s">
        <v>6</v>
      </c>
      <c r="B154" s="308" t="s">
        <v>96</v>
      </c>
      <c r="C154" s="309"/>
      <c r="D154" s="148">
        <v>0</v>
      </c>
      <c r="E154" s="149" t="e">
        <f>(E39+E84+E98+E136+D145+E153)*D154</f>
        <v>#DIV/0!</v>
      </c>
      <c r="F154" s="148">
        <f>D154</f>
        <v>0</v>
      </c>
      <c r="G154" s="91" t="e">
        <f>(E39+E84+E98+E136+D145+G153)*F154</f>
        <v>#DIV/0!</v>
      </c>
      <c r="H154" s="148">
        <f>F154</f>
        <v>0</v>
      </c>
      <c r="I154" s="91" t="e">
        <f>(E39+F84+F98+F136+D145+I153)*H154</f>
        <v>#DIV/0!</v>
      </c>
      <c r="J154" s="45" t="s">
        <v>416</v>
      </c>
      <c r="K154" s="108"/>
      <c r="L154" s="108"/>
      <c r="M154" s="108"/>
      <c r="N154" s="108"/>
      <c r="O154" s="108"/>
      <c r="P154" s="108"/>
      <c r="Q154" s="108"/>
      <c r="R154" s="108"/>
      <c r="S154" s="108"/>
      <c r="T154" s="108"/>
    </row>
    <row r="155" spans="1:21" x14ac:dyDescent="0.2">
      <c r="A155" s="203" t="s">
        <v>8</v>
      </c>
      <c r="B155" s="308" t="s">
        <v>97</v>
      </c>
      <c r="C155" s="309"/>
      <c r="D155" s="150" t="s">
        <v>127</v>
      </c>
      <c r="E155" s="151" t="e">
        <f>E157+E160+E161</f>
        <v>#DIV/0!</v>
      </c>
      <c r="F155" s="150" t="s">
        <v>127</v>
      </c>
      <c r="G155" s="151" t="e">
        <f>G157+G160+G161</f>
        <v>#DIV/0!</v>
      </c>
      <c r="H155" s="150" t="s">
        <v>127</v>
      </c>
      <c r="I155" s="151" t="e">
        <f>I157+I160+I161</f>
        <v>#DIV/0!</v>
      </c>
      <c r="J155" s="45" t="s">
        <v>219</v>
      </c>
    </row>
    <row r="156" spans="1:21" s="56" customFormat="1" ht="28.5" customHeight="1" x14ac:dyDescent="0.2">
      <c r="A156" s="53"/>
      <c r="B156" s="344" t="s">
        <v>188</v>
      </c>
      <c r="C156" s="345"/>
      <c r="D156" s="152">
        <f>1-((D158+D159+D162))</f>
        <v>0.88749999999999996</v>
      </c>
      <c r="E156" s="153" t="e">
        <f>(E39+E84+E98+E136+D145+E153+E154)/D156</f>
        <v>#DIV/0!</v>
      </c>
      <c r="F156" s="152">
        <f>1-((F158+F159+F162))</f>
        <v>0.94350000000000001</v>
      </c>
      <c r="G156" s="153" t="e">
        <f>(E39+E84+E98+E136+D145+G153+G154)/F156</f>
        <v>#DIV/0!</v>
      </c>
      <c r="H156" s="152">
        <f>1-((H158+H159+H162))</f>
        <v>0.95350000000000001</v>
      </c>
      <c r="I156" s="153" t="e">
        <f>(E39+F84+F98+F136+D145+I153+I154)/H156</f>
        <v>#DIV/0!</v>
      </c>
      <c r="J156" s="346" t="s">
        <v>200</v>
      </c>
      <c r="K156" s="346"/>
      <c r="L156" s="346"/>
      <c r="M156" s="346"/>
      <c r="N156" s="346"/>
      <c r="O156" s="346"/>
      <c r="P156" s="346"/>
      <c r="Q156" s="346"/>
      <c r="R156" s="346"/>
      <c r="S156" s="346"/>
      <c r="T156" s="346"/>
      <c r="U156" s="211"/>
    </row>
    <row r="157" spans="1:21" x14ac:dyDescent="0.2">
      <c r="A157" s="203"/>
      <c r="B157" s="308" t="s">
        <v>189</v>
      </c>
      <c r="C157" s="309"/>
      <c r="D157" s="154" t="s">
        <v>127</v>
      </c>
      <c r="E157" s="151" t="e">
        <f>SUM(E158:E159)</f>
        <v>#DIV/0!</v>
      </c>
      <c r="F157" s="154" t="s">
        <v>127</v>
      </c>
      <c r="G157" s="151" t="e">
        <f>SUM(G158:G159)</f>
        <v>#DIV/0!</v>
      </c>
      <c r="H157" s="154" t="s">
        <v>127</v>
      </c>
      <c r="I157" s="151" t="e">
        <f>SUM(I158:I159)</f>
        <v>#DIV/0!</v>
      </c>
      <c r="J157" s="45" t="s">
        <v>197</v>
      </c>
    </row>
    <row r="158" spans="1:21" s="56" customFormat="1" x14ac:dyDescent="0.2">
      <c r="A158" s="53"/>
      <c r="B158" s="344" t="s">
        <v>190</v>
      </c>
      <c r="C158" s="345"/>
      <c r="D158" s="155">
        <v>1.6500000000000001E-2</v>
      </c>
      <c r="E158" s="156" t="e">
        <f>E156*D158</f>
        <v>#DIV/0!</v>
      </c>
      <c r="F158" s="157">
        <v>6.4999999999999997E-3</v>
      </c>
      <c r="G158" s="156" t="e">
        <f>G156*F158</f>
        <v>#DIV/0!</v>
      </c>
      <c r="H158" s="157">
        <v>4.7000000000000002E-3</v>
      </c>
      <c r="I158" s="156" t="e">
        <f>I156*H158</f>
        <v>#DIV/0!</v>
      </c>
      <c r="J158" s="45" t="s">
        <v>196</v>
      </c>
    </row>
    <row r="159" spans="1:21" s="56" customFormat="1" x14ac:dyDescent="0.2">
      <c r="A159" s="53"/>
      <c r="B159" s="344" t="s">
        <v>191</v>
      </c>
      <c r="C159" s="345"/>
      <c r="D159" s="155">
        <v>7.5999999999999998E-2</v>
      </c>
      <c r="E159" s="156" t="e">
        <f>E156*D159</f>
        <v>#DIV/0!</v>
      </c>
      <c r="F159" s="157">
        <v>0.03</v>
      </c>
      <c r="G159" s="156" t="e">
        <f>G156*F159</f>
        <v>#DIV/0!</v>
      </c>
      <c r="H159" s="157">
        <v>2.18E-2</v>
      </c>
      <c r="I159" s="156" t="e">
        <f>I156*H159</f>
        <v>#DIV/0!</v>
      </c>
      <c r="J159" s="45" t="s">
        <v>195</v>
      </c>
    </row>
    <row r="160" spans="1:21" x14ac:dyDescent="0.2">
      <c r="A160" s="203"/>
      <c r="B160" s="308" t="s">
        <v>98</v>
      </c>
      <c r="C160" s="309"/>
      <c r="D160" s="150" t="s">
        <v>127</v>
      </c>
      <c r="E160" s="151">
        <v>0</v>
      </c>
      <c r="F160" s="150" t="s">
        <v>127</v>
      </c>
      <c r="G160" s="34">
        <v>0</v>
      </c>
      <c r="H160" s="150" t="s">
        <v>127</v>
      </c>
      <c r="I160" s="34">
        <v>0</v>
      </c>
      <c r="J160" s="45" t="s">
        <v>199</v>
      </c>
    </row>
    <row r="161" spans="1:11" ht="15" customHeight="1" x14ac:dyDescent="0.2">
      <c r="A161" s="203"/>
      <c r="B161" s="308" t="s">
        <v>193</v>
      </c>
      <c r="C161" s="309"/>
      <c r="D161" s="150" t="s">
        <v>127</v>
      </c>
      <c r="E161" s="151" t="e">
        <f>E162</f>
        <v>#DIV/0!</v>
      </c>
      <c r="F161" s="150" t="s">
        <v>127</v>
      </c>
      <c r="G161" s="151" t="e">
        <f>G162</f>
        <v>#DIV/0!</v>
      </c>
      <c r="H161" s="150" t="s">
        <v>127</v>
      </c>
      <c r="I161" s="151" t="e">
        <f>I162</f>
        <v>#DIV/0!</v>
      </c>
      <c r="J161" s="45" t="s">
        <v>198</v>
      </c>
    </row>
    <row r="162" spans="1:11" s="56" customFormat="1" x14ac:dyDescent="0.2">
      <c r="A162" s="53"/>
      <c r="B162" s="344" t="s">
        <v>192</v>
      </c>
      <c r="C162" s="345"/>
      <c r="D162" s="155">
        <v>0.02</v>
      </c>
      <c r="E162" s="156" t="e">
        <f>E156*D162</f>
        <v>#DIV/0!</v>
      </c>
      <c r="F162" s="158">
        <v>0.02</v>
      </c>
      <c r="G162" s="156" t="e">
        <f>G156*F162</f>
        <v>#DIV/0!</v>
      </c>
      <c r="H162" s="155">
        <v>0.02</v>
      </c>
      <c r="I162" s="156" t="e">
        <f>I156*H162</f>
        <v>#DIV/0!</v>
      </c>
      <c r="J162" s="45" t="s">
        <v>194</v>
      </c>
    </row>
    <row r="163" spans="1:11" x14ac:dyDescent="0.2">
      <c r="A163" s="312" t="s">
        <v>201</v>
      </c>
      <c r="B163" s="313"/>
      <c r="C163" s="314"/>
      <c r="D163" s="52" t="s">
        <v>127</v>
      </c>
      <c r="E163" s="159" t="e">
        <f>E153+E154+E155</f>
        <v>#DIV/0!</v>
      </c>
      <c r="F163" s="52" t="s">
        <v>127</v>
      </c>
      <c r="G163" s="159" t="e">
        <f>G153+G154+G155</f>
        <v>#DIV/0!</v>
      </c>
      <c r="H163" s="52" t="s">
        <v>127</v>
      </c>
      <c r="I163" s="159" t="e">
        <f>I153+I154+I155</f>
        <v>#DIV/0!</v>
      </c>
      <c r="J163" s="81"/>
      <c r="K163" s="160"/>
    </row>
    <row r="164" spans="1:11" x14ac:dyDescent="0.2">
      <c r="A164" s="23" t="s">
        <v>217</v>
      </c>
      <c r="B164" s="5"/>
      <c r="C164" s="5"/>
      <c r="D164" s="5"/>
      <c r="E164" s="5"/>
      <c r="F164" s="5"/>
      <c r="G164" s="5"/>
      <c r="H164" s="5"/>
      <c r="I164" s="133"/>
    </row>
    <row r="165" spans="1:11" x14ac:dyDescent="0.2">
      <c r="A165" s="23" t="s">
        <v>218</v>
      </c>
      <c r="B165" s="5"/>
      <c r="C165" s="5"/>
      <c r="D165" s="5"/>
      <c r="E165" s="5"/>
      <c r="F165" s="5"/>
      <c r="G165" s="5"/>
      <c r="H165" s="5"/>
      <c r="I165" s="133"/>
    </row>
    <row r="166" spans="1:11" x14ac:dyDescent="0.2">
      <c r="A166" s="5"/>
      <c r="B166" s="5"/>
      <c r="C166" s="5"/>
      <c r="D166" s="5"/>
      <c r="E166" s="5"/>
      <c r="F166" s="5"/>
      <c r="G166" s="5"/>
      <c r="H166" s="5"/>
      <c r="I166" s="133"/>
    </row>
    <row r="167" spans="1:11" x14ac:dyDescent="0.2">
      <c r="A167" s="5" t="s">
        <v>99</v>
      </c>
      <c r="B167" s="5"/>
      <c r="C167" s="5"/>
      <c r="D167" s="5"/>
      <c r="E167" s="5"/>
      <c r="F167" s="5"/>
      <c r="G167" s="5"/>
      <c r="H167" s="5"/>
      <c r="I167" s="133"/>
    </row>
    <row r="168" spans="1:11" s="161" customFormat="1" ht="29.25" customHeight="1" x14ac:dyDescent="0.25">
      <c r="A168" s="32"/>
      <c r="B168" s="276" t="s">
        <v>100</v>
      </c>
      <c r="C168" s="277"/>
      <c r="D168" s="202" t="s">
        <v>184</v>
      </c>
      <c r="E168" s="202" t="s">
        <v>185</v>
      </c>
      <c r="F168" s="202" t="s">
        <v>158</v>
      </c>
      <c r="G168" s="210"/>
    </row>
    <row r="169" spans="1:11" ht="24" customHeight="1" x14ac:dyDescent="0.2">
      <c r="A169" s="203" t="s">
        <v>4</v>
      </c>
      <c r="B169" s="295" t="s">
        <v>101</v>
      </c>
      <c r="C169" s="295"/>
      <c r="D169" s="57">
        <f>E39</f>
        <v>0</v>
      </c>
      <c r="E169" s="57">
        <f>E39</f>
        <v>0</v>
      </c>
      <c r="F169" s="61">
        <f>E39</f>
        <v>0</v>
      </c>
      <c r="G169" s="83"/>
    </row>
    <row r="170" spans="1:11" ht="26.25" customHeight="1" x14ac:dyDescent="0.2">
      <c r="A170" s="203" t="s">
        <v>6</v>
      </c>
      <c r="B170" s="295" t="s">
        <v>102</v>
      </c>
      <c r="C170" s="295"/>
      <c r="D170" s="57" t="e">
        <f>E84</f>
        <v>#DIV/0!</v>
      </c>
      <c r="E170" s="57" t="e">
        <f>E84</f>
        <v>#DIV/0!</v>
      </c>
      <c r="F170" s="61" t="e">
        <f>F84</f>
        <v>#DIV/0!</v>
      </c>
      <c r="G170" s="83"/>
    </row>
    <row r="171" spans="1:11" x14ac:dyDescent="0.2">
      <c r="A171" s="203" t="s">
        <v>8</v>
      </c>
      <c r="B171" s="295" t="s">
        <v>103</v>
      </c>
      <c r="C171" s="295"/>
      <c r="D171" s="57" t="e">
        <f>E98</f>
        <v>#DIV/0!</v>
      </c>
      <c r="E171" s="57" t="e">
        <f>E98</f>
        <v>#DIV/0!</v>
      </c>
      <c r="F171" s="61" t="e">
        <f>F98</f>
        <v>#DIV/0!</v>
      </c>
      <c r="G171" s="83"/>
    </row>
    <row r="172" spans="1:11" ht="26.25" customHeight="1" x14ac:dyDescent="0.2">
      <c r="A172" s="203" t="s">
        <v>10</v>
      </c>
      <c r="B172" s="295" t="s">
        <v>104</v>
      </c>
      <c r="C172" s="295"/>
      <c r="D172" s="57" t="e">
        <f>E136</f>
        <v>#DIV/0!</v>
      </c>
      <c r="E172" s="57" t="e">
        <f>E136</f>
        <v>#DIV/0!</v>
      </c>
      <c r="F172" s="61" t="e">
        <f>F136</f>
        <v>#DIV/0!</v>
      </c>
      <c r="G172" s="83"/>
      <c r="H172" s="162"/>
    </row>
    <row r="173" spans="1:11" x14ac:dyDescent="0.2">
      <c r="A173" s="203" t="s">
        <v>34</v>
      </c>
      <c r="B173" s="295" t="s">
        <v>105</v>
      </c>
      <c r="C173" s="295"/>
      <c r="D173" s="57" t="e">
        <f>D145</f>
        <v>#DIV/0!</v>
      </c>
      <c r="E173" s="57" t="e">
        <f>D145</f>
        <v>#DIV/0!</v>
      </c>
      <c r="F173" s="61" t="e">
        <f>D145</f>
        <v>#DIV/0!</v>
      </c>
      <c r="G173" s="83"/>
    </row>
    <row r="174" spans="1:11" ht="15" customHeight="1" x14ac:dyDescent="0.2">
      <c r="A174" s="281" t="s">
        <v>106</v>
      </c>
      <c r="B174" s="281"/>
      <c r="C174" s="281"/>
      <c r="D174" s="57" t="e">
        <f>SUM(D169:D173)</f>
        <v>#DIV/0!</v>
      </c>
      <c r="E174" s="57" t="e">
        <f>SUM(E169:E173)</f>
        <v>#DIV/0!</v>
      </c>
      <c r="F174" s="57" t="e">
        <f>SUM(F169:F173)</f>
        <v>#DIV/0!</v>
      </c>
      <c r="G174" s="84"/>
    </row>
    <row r="175" spans="1:11" ht="26.25" customHeight="1" x14ac:dyDescent="0.2">
      <c r="A175" s="203" t="s">
        <v>36</v>
      </c>
      <c r="B175" s="295" t="s">
        <v>107</v>
      </c>
      <c r="C175" s="295"/>
      <c r="D175" s="57" t="e">
        <f>E163</f>
        <v>#DIV/0!</v>
      </c>
      <c r="E175" s="57" t="e">
        <f>G163</f>
        <v>#DIV/0!</v>
      </c>
      <c r="F175" s="61" t="e">
        <f>I163</f>
        <v>#DIV/0!</v>
      </c>
      <c r="G175" s="83"/>
    </row>
    <row r="176" spans="1:11" ht="17.25" customHeight="1" x14ac:dyDescent="0.2">
      <c r="A176" s="312" t="s">
        <v>108</v>
      </c>
      <c r="B176" s="313"/>
      <c r="C176" s="313"/>
      <c r="D176" s="58" t="e">
        <f>D174+D175</f>
        <v>#DIV/0!</v>
      </c>
      <c r="E176" s="58" t="e">
        <f>E174+E175</f>
        <v>#DIV/0!</v>
      </c>
      <c r="F176" s="58" t="e">
        <f>F174+F175</f>
        <v>#DIV/0!</v>
      </c>
      <c r="G176" s="112"/>
      <c r="H176" s="163"/>
    </row>
    <row r="177" spans="1:10" hidden="1" x14ac:dyDescent="0.2">
      <c r="A177" s="3"/>
      <c r="B177" s="3"/>
      <c r="C177" s="3">
        <v>0</v>
      </c>
      <c r="D177" s="60" t="e">
        <f>D176-E156</f>
        <v>#DIV/0!</v>
      </c>
      <c r="E177" s="59" t="e">
        <f>E176-G156</f>
        <v>#DIV/0!</v>
      </c>
      <c r="F177" s="59" t="e">
        <f>F176-I156</f>
        <v>#DIV/0!</v>
      </c>
      <c r="G177" s="85"/>
    </row>
    <row r="178" spans="1:10" x14ac:dyDescent="0.2">
      <c r="A178" s="3"/>
      <c r="B178" s="3"/>
      <c r="C178" s="3"/>
      <c r="D178" s="109" t="e">
        <f>IF(D177=$C$177,"Ok","Erro")</f>
        <v>#DIV/0!</v>
      </c>
      <c r="E178" s="109" t="e">
        <f>IF(E177=$C$177,"Ok","Erro")</f>
        <v>#DIV/0!</v>
      </c>
      <c r="F178" s="109" t="e">
        <f>IF(F177=$C$177,"Ok","Erro")</f>
        <v>#DIV/0!</v>
      </c>
      <c r="G178" s="86"/>
    </row>
    <row r="179" spans="1:10" x14ac:dyDescent="0.2">
      <c r="A179" s="5" t="s">
        <v>109</v>
      </c>
      <c r="B179" s="5"/>
      <c r="C179" s="5"/>
      <c r="D179" s="5"/>
      <c r="E179" s="5"/>
      <c r="F179" s="5"/>
      <c r="G179" s="5"/>
      <c r="H179" s="5"/>
      <c r="I179" s="133"/>
      <c r="J179" s="5"/>
    </row>
    <row r="180" spans="1:10" x14ac:dyDescent="0.2">
      <c r="A180" s="5" t="s">
        <v>110</v>
      </c>
      <c r="B180" s="5"/>
      <c r="C180" s="5"/>
      <c r="D180" s="5"/>
      <c r="E180" s="5"/>
      <c r="F180" s="5"/>
      <c r="G180" s="5"/>
      <c r="H180" s="5"/>
      <c r="I180" s="133"/>
      <c r="J180" s="5"/>
    </row>
    <row r="181" spans="1:10" x14ac:dyDescent="0.2">
      <c r="A181" s="5"/>
      <c r="B181" s="5"/>
      <c r="C181" s="5"/>
      <c r="D181" s="5"/>
      <c r="E181" s="5"/>
      <c r="F181" s="5"/>
      <c r="G181" s="5"/>
      <c r="H181" s="5"/>
      <c r="I181" s="133"/>
      <c r="J181" s="5"/>
    </row>
    <row r="182" spans="1:10" x14ac:dyDescent="0.2">
      <c r="A182" s="5" t="s">
        <v>319</v>
      </c>
      <c r="B182" s="5"/>
      <c r="C182" s="5"/>
      <c r="D182" s="5"/>
      <c r="E182" s="5"/>
      <c r="F182" s="5"/>
      <c r="G182" s="5"/>
      <c r="H182" s="5"/>
      <c r="I182" s="133"/>
      <c r="J182" s="5"/>
    </row>
    <row r="183" spans="1:10" ht="25.5" customHeight="1" x14ac:dyDescent="0.2">
      <c r="A183" s="5"/>
      <c r="B183" s="5"/>
      <c r="C183" s="296" t="s">
        <v>184</v>
      </c>
      <c r="D183" s="296"/>
      <c r="E183" s="296" t="s">
        <v>185</v>
      </c>
      <c r="F183" s="296"/>
      <c r="G183" s="296" t="s">
        <v>158</v>
      </c>
      <c r="H183" s="296"/>
      <c r="I183" s="133"/>
      <c r="J183" s="5"/>
    </row>
    <row r="184" spans="1:10" ht="38.25" x14ac:dyDescent="0.2">
      <c r="A184" s="202" t="s">
        <v>111</v>
      </c>
      <c r="B184" s="206" t="s">
        <v>138</v>
      </c>
      <c r="C184" s="202" t="s">
        <v>202</v>
      </c>
      <c r="D184" s="202" t="s">
        <v>154</v>
      </c>
      <c r="E184" s="202" t="s">
        <v>202</v>
      </c>
      <c r="F184" s="202" t="s">
        <v>154</v>
      </c>
      <c r="G184" s="202" t="s">
        <v>202</v>
      </c>
      <c r="H184" s="202" t="s">
        <v>154</v>
      </c>
    </row>
    <row r="185" spans="1:10" x14ac:dyDescent="0.2">
      <c r="A185" s="10" t="s">
        <v>112</v>
      </c>
      <c r="B185" s="131">
        <f>Produtividade!B31</f>
        <v>17600</v>
      </c>
      <c r="C185" s="66" t="e">
        <f>$D$176</f>
        <v>#DIV/0!</v>
      </c>
      <c r="D185" s="66" t="e">
        <f>C185/$B185</f>
        <v>#DIV/0!</v>
      </c>
      <c r="E185" s="65" t="e">
        <f>$E$176</f>
        <v>#DIV/0!</v>
      </c>
      <c r="F185" s="65" t="e">
        <f>E185/$B185</f>
        <v>#DIV/0!</v>
      </c>
      <c r="G185" s="65" t="e">
        <f>$F$176</f>
        <v>#DIV/0!</v>
      </c>
      <c r="H185" s="65" t="e">
        <f>G185/$B185</f>
        <v>#DIV/0!</v>
      </c>
    </row>
    <row r="186" spans="1:10" x14ac:dyDescent="0.2">
      <c r="A186" s="63" t="s">
        <v>113</v>
      </c>
      <c r="B186" s="64"/>
      <c r="C186" s="63"/>
      <c r="D186" s="67" t="e">
        <f>D185</f>
        <v>#DIV/0!</v>
      </c>
      <c r="E186" s="63"/>
      <c r="F186" s="67" t="e">
        <f>F185</f>
        <v>#DIV/0!</v>
      </c>
      <c r="G186" s="63"/>
      <c r="H186" s="67" t="e">
        <f>H185</f>
        <v>#DIV/0!</v>
      </c>
    </row>
    <row r="187" spans="1:10" x14ac:dyDescent="0.2">
      <c r="A187" s="2"/>
      <c r="E187" s="137"/>
      <c r="F187" s="137"/>
      <c r="G187" s="137"/>
    </row>
    <row r="188" spans="1:10" x14ac:dyDescent="0.2">
      <c r="A188" s="5" t="s">
        <v>320</v>
      </c>
      <c r="B188" s="5"/>
      <c r="C188" s="133"/>
      <c r="D188" s="5"/>
      <c r="E188" s="164"/>
      <c r="F188" s="164"/>
      <c r="G188" s="164"/>
    </row>
    <row r="189" spans="1:10" x14ac:dyDescent="0.2">
      <c r="A189" s="5"/>
      <c r="B189" s="5"/>
      <c r="C189" s="296" t="s">
        <v>184</v>
      </c>
      <c r="D189" s="296"/>
      <c r="E189" s="296" t="s">
        <v>185</v>
      </c>
      <c r="F189" s="296"/>
      <c r="G189" s="296" t="s">
        <v>158</v>
      </c>
      <c r="H189" s="296"/>
    </row>
    <row r="190" spans="1:10" ht="38.25" x14ac:dyDescent="0.2">
      <c r="A190" s="202" t="s">
        <v>111</v>
      </c>
      <c r="B190" s="202" t="s">
        <v>138</v>
      </c>
      <c r="C190" s="202" t="s">
        <v>202</v>
      </c>
      <c r="D190" s="202" t="s">
        <v>154</v>
      </c>
      <c r="E190" s="202" t="s">
        <v>202</v>
      </c>
      <c r="F190" s="202" t="s">
        <v>154</v>
      </c>
      <c r="G190" s="202" t="s">
        <v>202</v>
      </c>
      <c r="H190" s="202" t="s">
        <v>154</v>
      </c>
    </row>
    <row r="191" spans="1:10" x14ac:dyDescent="0.2">
      <c r="A191" s="10" t="s">
        <v>112</v>
      </c>
      <c r="B191" s="131">
        <f>Produtividade!B32</f>
        <v>22000</v>
      </c>
      <c r="C191" s="65" t="e">
        <f>$D$176</f>
        <v>#DIV/0!</v>
      </c>
      <c r="D191" s="65" t="e">
        <f>C191/$B191</f>
        <v>#DIV/0!</v>
      </c>
      <c r="E191" s="65" t="e">
        <f>$E$176</f>
        <v>#DIV/0!</v>
      </c>
      <c r="F191" s="65" t="e">
        <f>E191/$B191</f>
        <v>#DIV/0!</v>
      </c>
      <c r="G191" s="65" t="e">
        <f>$F$176</f>
        <v>#DIV/0!</v>
      </c>
      <c r="H191" s="65" t="e">
        <f>G191/$B191</f>
        <v>#DIV/0!</v>
      </c>
    </row>
    <row r="192" spans="1:10" x14ac:dyDescent="0.2">
      <c r="A192" s="63" t="s">
        <v>113</v>
      </c>
      <c r="B192" s="64"/>
      <c r="C192" s="63"/>
      <c r="D192" s="67" t="e">
        <f>D191</f>
        <v>#DIV/0!</v>
      </c>
      <c r="E192" s="63"/>
      <c r="F192" s="67" t="e">
        <f>F191</f>
        <v>#DIV/0!</v>
      </c>
      <c r="G192" s="63"/>
      <c r="H192" s="67" t="e">
        <f>H191</f>
        <v>#DIV/0!</v>
      </c>
    </row>
    <row r="193" spans="1:10" x14ac:dyDescent="0.2">
      <c r="A193" s="2"/>
      <c r="E193" s="137"/>
      <c r="F193" s="137"/>
      <c r="G193" s="137"/>
    </row>
    <row r="194" spans="1:10" x14ac:dyDescent="0.2">
      <c r="A194" s="5" t="s">
        <v>321</v>
      </c>
      <c r="B194" s="5"/>
      <c r="C194" s="133"/>
      <c r="D194" s="5"/>
      <c r="E194" s="164"/>
      <c r="F194" s="164"/>
      <c r="G194" s="164"/>
    </row>
    <row r="195" spans="1:10" x14ac:dyDescent="0.2">
      <c r="A195" s="5"/>
      <c r="B195" s="5"/>
      <c r="C195" s="296" t="s">
        <v>184</v>
      </c>
      <c r="D195" s="296"/>
      <c r="E195" s="296" t="s">
        <v>185</v>
      </c>
      <c r="F195" s="296"/>
      <c r="G195" s="296" t="s">
        <v>158</v>
      </c>
      <c r="H195" s="296"/>
    </row>
    <row r="196" spans="1:10" ht="38.25" x14ac:dyDescent="0.2">
      <c r="A196" s="202" t="s">
        <v>111</v>
      </c>
      <c r="B196" s="202" t="s">
        <v>138</v>
      </c>
      <c r="C196" s="202" t="s">
        <v>202</v>
      </c>
      <c r="D196" s="202" t="s">
        <v>154</v>
      </c>
      <c r="E196" s="202" t="s">
        <v>202</v>
      </c>
      <c r="F196" s="202" t="s">
        <v>154</v>
      </c>
      <c r="G196" s="202" t="s">
        <v>202</v>
      </c>
      <c r="H196" s="202" t="s">
        <v>154</v>
      </c>
    </row>
    <row r="197" spans="1:10" x14ac:dyDescent="0.2">
      <c r="A197" s="10" t="s">
        <v>112</v>
      </c>
      <c r="B197" s="131">
        <f>Produtividade!B33</f>
        <v>7920</v>
      </c>
      <c r="C197" s="65" t="e">
        <f>$D$176</f>
        <v>#DIV/0!</v>
      </c>
      <c r="D197" s="65" t="e">
        <f>C197/$B197</f>
        <v>#DIV/0!</v>
      </c>
      <c r="E197" s="65" t="e">
        <f>$E$176</f>
        <v>#DIV/0!</v>
      </c>
      <c r="F197" s="65" t="e">
        <f>E197/$B197</f>
        <v>#DIV/0!</v>
      </c>
      <c r="G197" s="65" t="e">
        <f>$F$176</f>
        <v>#DIV/0!</v>
      </c>
      <c r="H197" s="65" t="e">
        <f>G197/$B197</f>
        <v>#DIV/0!</v>
      </c>
    </row>
    <row r="198" spans="1:10" x14ac:dyDescent="0.2">
      <c r="A198" s="63" t="s">
        <v>113</v>
      </c>
      <c r="B198" s="64"/>
      <c r="C198" s="63"/>
      <c r="D198" s="67" t="e">
        <f>D197</f>
        <v>#DIV/0!</v>
      </c>
      <c r="E198" s="63"/>
      <c r="F198" s="67" t="e">
        <f>F197</f>
        <v>#DIV/0!</v>
      </c>
      <c r="G198" s="63"/>
      <c r="H198" s="67" t="e">
        <f>H197</f>
        <v>#DIV/0!</v>
      </c>
    </row>
    <row r="199" spans="1:10" x14ac:dyDescent="0.2">
      <c r="A199" s="2"/>
      <c r="B199" s="2"/>
      <c r="C199" s="2"/>
      <c r="E199" s="17"/>
      <c r="F199" s="17"/>
      <c r="G199" s="17"/>
    </row>
    <row r="200" spans="1:10" x14ac:dyDescent="0.2">
      <c r="A200" s="5" t="s">
        <v>322</v>
      </c>
      <c r="B200" s="5"/>
      <c r="C200" s="5"/>
      <c r="D200" s="5"/>
      <c r="E200" s="18"/>
      <c r="F200" s="18"/>
      <c r="G200" s="18"/>
      <c r="I200" s="133"/>
      <c r="J200" s="5"/>
    </row>
    <row r="201" spans="1:10" x14ac:dyDescent="0.2">
      <c r="A201" s="5"/>
      <c r="B201" s="5"/>
      <c r="C201" s="296" t="s">
        <v>184</v>
      </c>
      <c r="D201" s="296"/>
      <c r="E201" s="296" t="s">
        <v>185</v>
      </c>
      <c r="F201" s="296"/>
      <c r="G201" s="296" t="s">
        <v>158</v>
      </c>
      <c r="H201" s="296"/>
      <c r="I201" s="133"/>
      <c r="J201" s="5"/>
    </row>
    <row r="202" spans="1:10" ht="38.25" x14ac:dyDescent="0.2">
      <c r="A202" s="202" t="s">
        <v>111</v>
      </c>
      <c r="B202" s="202" t="s">
        <v>138</v>
      </c>
      <c r="C202" s="202" t="s">
        <v>202</v>
      </c>
      <c r="D202" s="202" t="s">
        <v>154</v>
      </c>
      <c r="E202" s="202" t="s">
        <v>202</v>
      </c>
      <c r="F202" s="202" t="s">
        <v>154</v>
      </c>
      <c r="G202" s="202" t="s">
        <v>202</v>
      </c>
      <c r="H202" s="202" t="s">
        <v>154</v>
      </c>
    </row>
    <row r="203" spans="1:10" x14ac:dyDescent="0.2">
      <c r="A203" s="10" t="s">
        <v>112</v>
      </c>
      <c r="B203" s="131">
        <f>Produtividade!B34</f>
        <v>44000</v>
      </c>
      <c r="C203" s="65" t="e">
        <f>$D$176</f>
        <v>#DIV/0!</v>
      </c>
      <c r="D203" s="65" t="e">
        <f>C203/$B203</f>
        <v>#DIV/0!</v>
      </c>
      <c r="E203" s="65" t="e">
        <f>$E$176</f>
        <v>#DIV/0!</v>
      </c>
      <c r="F203" s="65" t="e">
        <f>E203/$B203</f>
        <v>#DIV/0!</v>
      </c>
      <c r="G203" s="65" t="e">
        <f>$F$176</f>
        <v>#DIV/0!</v>
      </c>
      <c r="H203" s="65" t="e">
        <f>G203/$B203</f>
        <v>#DIV/0!</v>
      </c>
    </row>
    <row r="204" spans="1:10" x14ac:dyDescent="0.2">
      <c r="A204" s="63" t="s">
        <v>113</v>
      </c>
      <c r="B204" s="64"/>
      <c r="C204" s="63"/>
      <c r="D204" s="67" t="e">
        <f>D203</f>
        <v>#DIV/0!</v>
      </c>
      <c r="E204" s="63"/>
      <c r="F204" s="67" t="e">
        <f>F203</f>
        <v>#DIV/0!</v>
      </c>
      <c r="G204" s="63"/>
      <c r="H204" s="67" t="e">
        <f>H203</f>
        <v>#DIV/0!</v>
      </c>
    </row>
    <row r="206" spans="1:10" x14ac:dyDescent="0.2">
      <c r="A206" s="5" t="s">
        <v>323</v>
      </c>
      <c r="B206" s="5"/>
      <c r="C206" s="5"/>
      <c r="D206" s="5"/>
      <c r="E206" s="18"/>
      <c r="F206" s="18"/>
      <c r="G206" s="18"/>
    </row>
    <row r="207" spans="1:10" x14ac:dyDescent="0.2">
      <c r="A207" s="5"/>
      <c r="B207" s="5"/>
      <c r="C207" s="296" t="s">
        <v>184</v>
      </c>
      <c r="D207" s="296"/>
      <c r="E207" s="296" t="s">
        <v>185</v>
      </c>
      <c r="F207" s="296"/>
      <c r="G207" s="296" t="s">
        <v>158</v>
      </c>
      <c r="H207" s="296"/>
    </row>
    <row r="208" spans="1:10" ht="38.25" x14ac:dyDescent="0.2">
      <c r="A208" s="202" t="s">
        <v>111</v>
      </c>
      <c r="B208" s="202" t="s">
        <v>138</v>
      </c>
      <c r="C208" s="202" t="s">
        <v>202</v>
      </c>
      <c r="D208" s="202" t="s">
        <v>154</v>
      </c>
      <c r="E208" s="202" t="s">
        <v>202</v>
      </c>
      <c r="F208" s="202" t="s">
        <v>154</v>
      </c>
      <c r="G208" s="202" t="s">
        <v>202</v>
      </c>
      <c r="H208" s="202" t="s">
        <v>154</v>
      </c>
    </row>
    <row r="209" spans="1:8" x14ac:dyDescent="0.2">
      <c r="A209" s="10" t="s">
        <v>112</v>
      </c>
      <c r="B209" s="131">
        <f>Produtividade!B35</f>
        <v>33000</v>
      </c>
      <c r="C209" s="65" t="e">
        <f>$D$176</f>
        <v>#DIV/0!</v>
      </c>
      <c r="D209" s="65" t="e">
        <f>C209/$B209</f>
        <v>#DIV/0!</v>
      </c>
      <c r="E209" s="65" t="e">
        <f>$E$176</f>
        <v>#DIV/0!</v>
      </c>
      <c r="F209" s="65" t="e">
        <f>E209/$B209</f>
        <v>#DIV/0!</v>
      </c>
      <c r="G209" s="65" t="e">
        <f>$F$176</f>
        <v>#DIV/0!</v>
      </c>
      <c r="H209" s="65" t="e">
        <f>G209/$B209</f>
        <v>#DIV/0!</v>
      </c>
    </row>
    <row r="210" spans="1:8" x14ac:dyDescent="0.2">
      <c r="A210" s="63" t="s">
        <v>113</v>
      </c>
      <c r="B210" s="64"/>
      <c r="C210" s="63"/>
      <c r="D210" s="67" t="e">
        <f>D209</f>
        <v>#DIV/0!</v>
      </c>
      <c r="E210" s="63"/>
      <c r="F210" s="67" t="e">
        <f>F209</f>
        <v>#DIV/0!</v>
      </c>
      <c r="G210" s="63"/>
      <c r="H210" s="67" t="e">
        <f>H209</f>
        <v>#DIV/0!</v>
      </c>
    </row>
    <row r="212" spans="1:8" x14ac:dyDescent="0.2">
      <c r="A212" s="5" t="s">
        <v>324</v>
      </c>
      <c r="B212" s="5"/>
      <c r="C212" s="5"/>
      <c r="D212" s="5"/>
      <c r="E212" s="18"/>
      <c r="F212" s="18"/>
      <c r="G212" s="18"/>
    </row>
    <row r="213" spans="1:8" x14ac:dyDescent="0.2">
      <c r="A213" s="5"/>
      <c r="B213" s="5"/>
      <c r="C213" s="296" t="s">
        <v>184</v>
      </c>
      <c r="D213" s="296"/>
      <c r="E213" s="296" t="s">
        <v>185</v>
      </c>
      <c r="F213" s="296"/>
      <c r="G213" s="296" t="s">
        <v>158</v>
      </c>
      <c r="H213" s="296"/>
    </row>
    <row r="214" spans="1:8" ht="38.25" x14ac:dyDescent="0.2">
      <c r="A214" s="202" t="s">
        <v>111</v>
      </c>
      <c r="B214" s="202" t="s">
        <v>138</v>
      </c>
      <c r="C214" s="202" t="s">
        <v>202</v>
      </c>
      <c r="D214" s="202" t="s">
        <v>154</v>
      </c>
      <c r="E214" s="202" t="s">
        <v>202</v>
      </c>
      <c r="F214" s="202" t="s">
        <v>154</v>
      </c>
      <c r="G214" s="202" t="s">
        <v>202</v>
      </c>
      <c r="H214" s="202" t="s">
        <v>154</v>
      </c>
    </row>
    <row r="215" spans="1:8" x14ac:dyDescent="0.2">
      <c r="A215" s="10" t="s">
        <v>112</v>
      </c>
      <c r="B215" s="131">
        <f>Produtividade!B36</f>
        <v>4400</v>
      </c>
      <c r="C215" s="65" t="e">
        <f>$D$176</f>
        <v>#DIV/0!</v>
      </c>
      <c r="D215" s="65" t="e">
        <f>C215/$B215</f>
        <v>#DIV/0!</v>
      </c>
      <c r="E215" s="65" t="e">
        <f>$E$176</f>
        <v>#DIV/0!</v>
      </c>
      <c r="F215" s="65" t="e">
        <f>E215/$B215</f>
        <v>#DIV/0!</v>
      </c>
      <c r="G215" s="65" t="e">
        <f>$F$176</f>
        <v>#DIV/0!</v>
      </c>
      <c r="H215" s="65" t="e">
        <f>G215/$B215</f>
        <v>#DIV/0!</v>
      </c>
    </row>
    <row r="216" spans="1:8" x14ac:dyDescent="0.2">
      <c r="A216" s="63" t="s">
        <v>113</v>
      </c>
      <c r="B216" s="64"/>
      <c r="C216" s="63"/>
      <c r="D216" s="67" t="e">
        <f>D215</f>
        <v>#DIV/0!</v>
      </c>
      <c r="E216" s="63"/>
      <c r="F216" s="67" t="e">
        <f>F215</f>
        <v>#DIV/0!</v>
      </c>
      <c r="G216" s="63"/>
      <c r="H216" s="67" t="e">
        <f>H215</f>
        <v>#DIV/0!</v>
      </c>
    </row>
    <row r="218" spans="1:8" x14ac:dyDescent="0.2">
      <c r="A218" s="5" t="s">
        <v>325</v>
      </c>
      <c r="B218" s="5"/>
      <c r="C218" s="5"/>
      <c r="D218" s="5"/>
      <c r="E218" s="18"/>
      <c r="F218" s="18"/>
      <c r="G218" s="18"/>
    </row>
    <row r="219" spans="1:8" x14ac:dyDescent="0.2">
      <c r="A219" s="5"/>
      <c r="B219" s="5"/>
      <c r="C219" s="296" t="s">
        <v>184</v>
      </c>
      <c r="D219" s="296"/>
      <c r="E219" s="296" t="s">
        <v>185</v>
      </c>
      <c r="F219" s="296"/>
      <c r="G219" s="296" t="s">
        <v>158</v>
      </c>
      <c r="H219" s="296"/>
    </row>
    <row r="220" spans="1:8" ht="38.25" x14ac:dyDescent="0.2">
      <c r="A220" s="202" t="s">
        <v>111</v>
      </c>
      <c r="B220" s="202" t="s">
        <v>138</v>
      </c>
      <c r="C220" s="202" t="s">
        <v>202</v>
      </c>
      <c r="D220" s="202" t="s">
        <v>154</v>
      </c>
      <c r="E220" s="202" t="s">
        <v>202</v>
      </c>
      <c r="F220" s="202" t="s">
        <v>154</v>
      </c>
      <c r="G220" s="202" t="s">
        <v>202</v>
      </c>
      <c r="H220" s="202" t="s">
        <v>154</v>
      </c>
    </row>
    <row r="221" spans="1:8" x14ac:dyDescent="0.2">
      <c r="A221" s="10" t="s">
        <v>112</v>
      </c>
      <c r="B221" s="131">
        <f>Produtividade!B37</f>
        <v>49500</v>
      </c>
      <c r="C221" s="65" t="e">
        <f>$D$176</f>
        <v>#DIV/0!</v>
      </c>
      <c r="D221" s="65" t="e">
        <f>C221/$B221</f>
        <v>#DIV/0!</v>
      </c>
      <c r="E221" s="65" t="e">
        <f>$E$176</f>
        <v>#DIV/0!</v>
      </c>
      <c r="F221" s="65" t="e">
        <f>E221/$B221</f>
        <v>#DIV/0!</v>
      </c>
      <c r="G221" s="65" t="e">
        <f>$F$176</f>
        <v>#DIV/0!</v>
      </c>
      <c r="H221" s="65" t="e">
        <f>G221/$B221</f>
        <v>#DIV/0!</v>
      </c>
    </row>
    <row r="222" spans="1:8" x14ac:dyDescent="0.2">
      <c r="A222" s="63" t="s">
        <v>113</v>
      </c>
      <c r="B222" s="64"/>
      <c r="C222" s="63"/>
      <c r="D222" s="67" t="e">
        <f>D221</f>
        <v>#DIV/0!</v>
      </c>
      <c r="E222" s="63"/>
      <c r="F222" s="67" t="e">
        <f>F221</f>
        <v>#DIV/0!</v>
      </c>
      <c r="G222" s="63"/>
      <c r="H222" s="67" t="e">
        <f>H221</f>
        <v>#DIV/0!</v>
      </c>
    </row>
    <row r="224" spans="1:8" x14ac:dyDescent="0.2">
      <c r="A224" s="5" t="s">
        <v>326</v>
      </c>
      <c r="B224" s="5"/>
      <c r="C224" s="5"/>
      <c r="D224" s="5"/>
      <c r="E224" s="18"/>
      <c r="F224" s="18"/>
      <c r="G224" s="18"/>
    </row>
    <row r="225" spans="1:11" x14ac:dyDescent="0.2">
      <c r="A225" s="5"/>
      <c r="B225" s="5"/>
      <c r="C225" s="296" t="s">
        <v>184</v>
      </c>
      <c r="D225" s="296"/>
      <c r="E225" s="296" t="s">
        <v>185</v>
      </c>
      <c r="F225" s="296"/>
      <c r="G225" s="296" t="s">
        <v>158</v>
      </c>
      <c r="H225" s="296"/>
    </row>
    <row r="226" spans="1:11" ht="38.25" x14ac:dyDescent="0.2">
      <c r="A226" s="202" t="s">
        <v>111</v>
      </c>
      <c r="B226" s="202" t="s">
        <v>138</v>
      </c>
      <c r="C226" s="202" t="s">
        <v>202</v>
      </c>
      <c r="D226" s="202" t="s">
        <v>154</v>
      </c>
      <c r="E226" s="202" t="s">
        <v>202</v>
      </c>
      <c r="F226" s="202" t="s">
        <v>154</v>
      </c>
      <c r="G226" s="202" t="s">
        <v>202</v>
      </c>
      <c r="H226" s="202" t="s">
        <v>154</v>
      </c>
    </row>
    <row r="227" spans="1:11" x14ac:dyDescent="0.2">
      <c r="A227" s="10" t="s">
        <v>112</v>
      </c>
      <c r="B227" s="131">
        <f>Produtividade!B38</f>
        <v>165000</v>
      </c>
      <c r="C227" s="65" t="e">
        <f>$D$176</f>
        <v>#DIV/0!</v>
      </c>
      <c r="D227" s="65" t="e">
        <f>C227/$B227</f>
        <v>#DIV/0!</v>
      </c>
      <c r="E227" s="65" t="e">
        <f>$E$176</f>
        <v>#DIV/0!</v>
      </c>
      <c r="F227" s="65" t="e">
        <f>E227/$B227</f>
        <v>#DIV/0!</v>
      </c>
      <c r="G227" s="65" t="e">
        <f>$F$176</f>
        <v>#DIV/0!</v>
      </c>
      <c r="H227" s="65" t="e">
        <f>G227/$B227</f>
        <v>#DIV/0!</v>
      </c>
    </row>
    <row r="228" spans="1:11" x14ac:dyDescent="0.2">
      <c r="A228" s="63" t="s">
        <v>113</v>
      </c>
      <c r="B228" s="64"/>
      <c r="C228" s="63"/>
      <c r="D228" s="67" t="e">
        <f>D227</f>
        <v>#DIV/0!</v>
      </c>
      <c r="E228" s="63"/>
      <c r="F228" s="67" t="e">
        <f>F227</f>
        <v>#DIV/0!</v>
      </c>
      <c r="G228" s="63"/>
      <c r="H228" s="67" t="e">
        <f>H227</f>
        <v>#DIV/0!</v>
      </c>
    </row>
    <row r="230" spans="1:11" x14ac:dyDescent="0.2">
      <c r="A230" s="6" t="s">
        <v>327</v>
      </c>
      <c r="B230" s="6"/>
      <c r="C230" s="6"/>
      <c r="D230" s="6"/>
      <c r="E230" s="6"/>
      <c r="F230" s="6"/>
      <c r="G230" s="6"/>
    </row>
    <row r="231" spans="1:11" x14ac:dyDescent="0.2">
      <c r="A231" s="6"/>
      <c r="B231" s="6"/>
      <c r="C231" s="6"/>
      <c r="D231" s="6"/>
      <c r="E231" s="6"/>
      <c r="F231" s="296" t="s">
        <v>184</v>
      </c>
      <c r="G231" s="296"/>
      <c r="H231" s="296" t="s">
        <v>185</v>
      </c>
      <c r="I231" s="296"/>
      <c r="J231" s="296" t="s">
        <v>158</v>
      </c>
      <c r="K231" s="296"/>
    </row>
    <row r="232" spans="1:11" ht="51" x14ac:dyDescent="0.2">
      <c r="A232" s="202" t="s">
        <v>111</v>
      </c>
      <c r="B232" s="13" t="s">
        <v>138</v>
      </c>
      <c r="C232" s="13" t="s">
        <v>137</v>
      </c>
      <c r="D232" s="13" t="s">
        <v>139</v>
      </c>
      <c r="E232" s="13" t="s">
        <v>140</v>
      </c>
      <c r="F232" s="13" t="s">
        <v>203</v>
      </c>
      <c r="G232" s="13" t="s">
        <v>141</v>
      </c>
      <c r="H232" s="13" t="s">
        <v>203</v>
      </c>
      <c r="I232" s="13" t="s">
        <v>141</v>
      </c>
      <c r="J232" s="13" t="s">
        <v>203</v>
      </c>
      <c r="K232" s="13" t="s">
        <v>141</v>
      </c>
    </row>
    <row r="233" spans="1:11" x14ac:dyDescent="0.2">
      <c r="A233" s="10" t="s">
        <v>112</v>
      </c>
      <c r="B233" s="131">
        <f>Produtividade!B39</f>
        <v>3190</v>
      </c>
      <c r="C233" s="203">
        <v>8</v>
      </c>
      <c r="D233" s="68">
        <v>188.76</v>
      </c>
      <c r="E233" s="203">
        <f>ROUND((1/B233)*C233*(1/D233),7)</f>
        <v>1.33E-5</v>
      </c>
      <c r="F233" s="65" t="e">
        <f>$D$176</f>
        <v>#DIV/0!</v>
      </c>
      <c r="G233" s="65" t="e">
        <f>F233*$E$233</f>
        <v>#DIV/0!</v>
      </c>
      <c r="H233" s="65" t="e">
        <f>$E$176</f>
        <v>#DIV/0!</v>
      </c>
      <c r="I233" s="65" t="e">
        <f>H233*$E$233</f>
        <v>#DIV/0!</v>
      </c>
      <c r="J233" s="65" t="e">
        <f>$F$176</f>
        <v>#DIV/0!</v>
      </c>
      <c r="K233" s="65" t="e">
        <f>J233*$E$233</f>
        <v>#DIV/0!</v>
      </c>
    </row>
    <row r="234" spans="1:11" x14ac:dyDescent="0.2">
      <c r="A234" s="69" t="s">
        <v>113</v>
      </c>
      <c r="B234" s="70"/>
      <c r="C234" s="70"/>
      <c r="D234" s="70"/>
      <c r="E234" s="70"/>
      <c r="F234" s="69"/>
      <c r="G234" s="71" t="e">
        <f>G233</f>
        <v>#DIV/0!</v>
      </c>
      <c r="H234" s="69"/>
      <c r="I234" s="71" t="e">
        <f>I233</f>
        <v>#DIV/0!</v>
      </c>
      <c r="J234" s="69"/>
      <c r="K234" s="71" t="e">
        <f>K233</f>
        <v>#DIV/0!</v>
      </c>
    </row>
    <row r="236" spans="1:11" x14ac:dyDescent="0.2">
      <c r="A236" s="6" t="s">
        <v>328</v>
      </c>
      <c r="B236" s="6"/>
      <c r="C236" s="6"/>
      <c r="D236" s="6"/>
      <c r="E236" s="6"/>
      <c r="F236" s="6"/>
      <c r="G236" s="6"/>
    </row>
    <row r="237" spans="1:11" x14ac:dyDescent="0.2">
      <c r="A237" s="6"/>
      <c r="B237" s="6"/>
      <c r="C237" s="6"/>
      <c r="D237" s="6"/>
      <c r="E237" s="6"/>
      <c r="F237" s="296" t="s">
        <v>184</v>
      </c>
      <c r="G237" s="296"/>
      <c r="H237" s="296" t="s">
        <v>185</v>
      </c>
      <c r="I237" s="296"/>
      <c r="J237" s="296" t="s">
        <v>158</v>
      </c>
      <c r="K237" s="296"/>
    </row>
    <row r="238" spans="1:11" ht="51" x14ac:dyDescent="0.2">
      <c r="A238" s="202" t="s">
        <v>111</v>
      </c>
      <c r="B238" s="13" t="s">
        <v>138</v>
      </c>
      <c r="C238" s="13" t="s">
        <v>137</v>
      </c>
      <c r="D238" s="13" t="s">
        <v>139</v>
      </c>
      <c r="E238" s="13" t="s">
        <v>140</v>
      </c>
      <c r="F238" s="13" t="s">
        <v>203</v>
      </c>
      <c r="G238" s="13" t="s">
        <v>141</v>
      </c>
      <c r="H238" s="13" t="s">
        <v>203</v>
      </c>
      <c r="I238" s="13" t="s">
        <v>141</v>
      </c>
      <c r="J238" s="13" t="s">
        <v>203</v>
      </c>
      <c r="K238" s="13" t="s">
        <v>141</v>
      </c>
    </row>
    <row r="239" spans="1:11" x14ac:dyDescent="0.2">
      <c r="A239" s="10" t="s">
        <v>112</v>
      </c>
      <c r="B239" s="131">
        <f>Produtividade!B40</f>
        <v>7480</v>
      </c>
      <c r="C239" s="203">
        <v>8</v>
      </c>
      <c r="D239" s="68">
        <v>188.76</v>
      </c>
      <c r="E239" s="203">
        <f>ROUND((1/B239)*C239*(1/D239),7)</f>
        <v>5.6999999999999996E-6</v>
      </c>
      <c r="F239" s="65" t="e">
        <f>$D$176</f>
        <v>#DIV/0!</v>
      </c>
      <c r="G239" s="65" t="e">
        <f>F239*$E$239</f>
        <v>#DIV/0!</v>
      </c>
      <c r="H239" s="65" t="e">
        <f>$E$176</f>
        <v>#DIV/0!</v>
      </c>
      <c r="I239" s="65" t="e">
        <f>H239*$E$239</f>
        <v>#DIV/0!</v>
      </c>
      <c r="J239" s="65" t="e">
        <f>$F$176</f>
        <v>#DIV/0!</v>
      </c>
      <c r="K239" s="65" t="e">
        <f>J239*$E$239</f>
        <v>#DIV/0!</v>
      </c>
    </row>
    <row r="240" spans="1:11" x14ac:dyDescent="0.2">
      <c r="A240" s="69" t="s">
        <v>113</v>
      </c>
      <c r="B240" s="70"/>
      <c r="C240" s="70"/>
      <c r="D240" s="70"/>
      <c r="E240" s="70"/>
      <c r="F240" s="69"/>
      <c r="G240" s="71" t="e">
        <f>G239</f>
        <v>#DIV/0!</v>
      </c>
      <c r="H240" s="69"/>
      <c r="I240" s="71" t="e">
        <f>I239</f>
        <v>#DIV/0!</v>
      </c>
      <c r="J240" s="69"/>
      <c r="K240" s="71" t="e">
        <f>K239</f>
        <v>#DIV/0!</v>
      </c>
    </row>
    <row r="241" spans="1:14" x14ac:dyDescent="0.2">
      <c r="A241" s="5"/>
      <c r="B241" s="5"/>
      <c r="C241" s="5"/>
      <c r="D241" s="5"/>
      <c r="E241" s="18"/>
      <c r="F241" s="18"/>
      <c r="G241" s="18"/>
    </row>
    <row r="242" spans="1:14" x14ac:dyDescent="0.2">
      <c r="A242" s="6" t="s">
        <v>329</v>
      </c>
      <c r="B242" s="6"/>
      <c r="C242" s="6"/>
      <c r="D242" s="6"/>
      <c r="E242" s="6"/>
      <c r="F242" s="6"/>
      <c r="G242" s="6"/>
    </row>
    <row r="243" spans="1:14" x14ac:dyDescent="0.2">
      <c r="A243" s="6"/>
      <c r="B243" s="6"/>
      <c r="C243" s="6"/>
      <c r="D243" s="6"/>
      <c r="E243" s="6"/>
      <c r="F243" s="296" t="s">
        <v>184</v>
      </c>
      <c r="G243" s="296"/>
      <c r="H243" s="296" t="s">
        <v>185</v>
      </c>
      <c r="I243" s="296"/>
      <c r="J243" s="296" t="s">
        <v>158</v>
      </c>
      <c r="K243" s="296"/>
    </row>
    <row r="244" spans="1:14" ht="51" x14ac:dyDescent="0.2">
      <c r="A244" s="202" t="s">
        <v>111</v>
      </c>
      <c r="B244" s="13" t="s">
        <v>138</v>
      </c>
      <c r="C244" s="13" t="s">
        <v>137</v>
      </c>
      <c r="D244" s="13" t="s">
        <v>139</v>
      </c>
      <c r="E244" s="13" t="s">
        <v>140</v>
      </c>
      <c r="F244" s="13" t="s">
        <v>203</v>
      </c>
      <c r="G244" s="13" t="s">
        <v>141</v>
      </c>
      <c r="H244" s="13" t="s">
        <v>203</v>
      </c>
      <c r="I244" s="13" t="s">
        <v>141</v>
      </c>
      <c r="J244" s="13" t="s">
        <v>203</v>
      </c>
      <c r="K244" s="13" t="s">
        <v>141</v>
      </c>
    </row>
    <row r="245" spans="1:14" x14ac:dyDescent="0.2">
      <c r="A245" s="10" t="s">
        <v>112</v>
      </c>
      <c r="B245" s="131">
        <f>Produtividade!B41</f>
        <v>7480</v>
      </c>
      <c r="C245" s="203">
        <v>8</v>
      </c>
      <c r="D245" s="68">
        <v>188.76</v>
      </c>
      <c r="E245" s="203">
        <f>ROUND((1/B245)*C245*(1/D245),7)</f>
        <v>5.6999999999999996E-6</v>
      </c>
      <c r="F245" s="65" t="e">
        <f>$D$176</f>
        <v>#DIV/0!</v>
      </c>
      <c r="G245" s="65" t="e">
        <f>F245*$E$245</f>
        <v>#DIV/0!</v>
      </c>
      <c r="H245" s="65" t="e">
        <f>$E$176</f>
        <v>#DIV/0!</v>
      </c>
      <c r="I245" s="65" t="e">
        <f>H245*$E$245</f>
        <v>#DIV/0!</v>
      </c>
      <c r="J245" s="65" t="e">
        <f>$F$176</f>
        <v>#DIV/0!</v>
      </c>
      <c r="K245" s="65" t="e">
        <f>J245*$E$245</f>
        <v>#DIV/0!</v>
      </c>
    </row>
    <row r="246" spans="1:14" x14ac:dyDescent="0.2">
      <c r="A246" s="69" t="s">
        <v>113</v>
      </c>
      <c r="B246" s="70"/>
      <c r="C246" s="70"/>
      <c r="D246" s="70"/>
      <c r="E246" s="70"/>
      <c r="F246" s="69"/>
      <c r="G246" s="71" t="e">
        <f>G245</f>
        <v>#DIV/0!</v>
      </c>
      <c r="H246" s="69"/>
      <c r="I246" s="71" t="e">
        <f>I245</f>
        <v>#DIV/0!</v>
      </c>
      <c r="J246" s="69"/>
      <c r="K246" s="71" t="e">
        <f>K245</f>
        <v>#DIV/0!</v>
      </c>
    </row>
    <row r="248" spans="1:14" x14ac:dyDescent="0.2">
      <c r="A248" s="6" t="s">
        <v>114</v>
      </c>
      <c r="B248" s="6"/>
      <c r="C248" s="6"/>
      <c r="D248" s="6"/>
      <c r="E248" s="6"/>
      <c r="F248" s="6"/>
      <c r="G248" s="6"/>
      <c r="J248" s="6"/>
    </row>
    <row r="249" spans="1:14" x14ac:dyDescent="0.2">
      <c r="A249" s="6"/>
      <c r="B249" s="6"/>
      <c r="C249" s="6"/>
      <c r="D249" s="6"/>
      <c r="E249" s="6"/>
      <c r="F249" s="296" t="s">
        <v>184</v>
      </c>
      <c r="G249" s="296"/>
      <c r="H249" s="296" t="s">
        <v>185</v>
      </c>
      <c r="I249" s="296"/>
      <c r="J249" s="296" t="s">
        <v>158</v>
      </c>
      <c r="K249" s="296"/>
    </row>
    <row r="250" spans="1:14" ht="38.25" x14ac:dyDescent="0.2">
      <c r="A250" s="296" t="s">
        <v>115</v>
      </c>
      <c r="B250" s="296"/>
      <c r="C250" s="296"/>
      <c r="D250" s="296"/>
      <c r="E250" s="202" t="s">
        <v>143</v>
      </c>
      <c r="F250" s="202" t="s">
        <v>142</v>
      </c>
      <c r="G250" s="202" t="s">
        <v>144</v>
      </c>
      <c r="H250" s="202" t="s">
        <v>142</v>
      </c>
      <c r="I250" s="202" t="s">
        <v>144</v>
      </c>
      <c r="J250" s="202" t="s">
        <v>142</v>
      </c>
      <c r="K250" s="202" t="s">
        <v>144</v>
      </c>
      <c r="L250" s="108"/>
      <c r="M250" s="108"/>
      <c r="N250" s="108"/>
    </row>
    <row r="251" spans="1:14" x14ac:dyDescent="0.2">
      <c r="A251" s="295" t="s">
        <v>318</v>
      </c>
      <c r="B251" s="295"/>
      <c r="C251" s="295"/>
      <c r="D251" s="295"/>
      <c r="E251" s="225">
        <v>868.4</v>
      </c>
      <c r="F251" s="9" t="e">
        <f>D186</f>
        <v>#DIV/0!</v>
      </c>
      <c r="G251" s="9" t="e">
        <f>$E251*F251</f>
        <v>#DIV/0!</v>
      </c>
      <c r="H251" s="9" t="e">
        <f>F186</f>
        <v>#DIV/0!</v>
      </c>
      <c r="I251" s="9" t="e">
        <f>$E251*H251</f>
        <v>#DIV/0!</v>
      </c>
      <c r="J251" s="9" t="e">
        <f>H186</f>
        <v>#DIV/0!</v>
      </c>
      <c r="K251" s="9" t="e">
        <f>$E251*J251</f>
        <v>#DIV/0!</v>
      </c>
      <c r="L251" s="165"/>
      <c r="M251" s="166"/>
      <c r="N251" s="108"/>
    </row>
    <row r="252" spans="1:14" x14ac:dyDescent="0.2">
      <c r="A252" s="295" t="s">
        <v>320</v>
      </c>
      <c r="B252" s="295"/>
      <c r="C252" s="295"/>
      <c r="D252" s="295"/>
      <c r="E252" s="225">
        <v>0</v>
      </c>
      <c r="F252" s="9" t="e">
        <f>D192</f>
        <v>#DIV/0!</v>
      </c>
      <c r="G252" s="9" t="e">
        <f t="shared" ref="G252:G261" si="1">$E252*F252</f>
        <v>#DIV/0!</v>
      </c>
      <c r="H252" s="9" t="e">
        <f>F192</f>
        <v>#DIV/0!</v>
      </c>
      <c r="I252" s="9" t="e">
        <f t="shared" ref="I252:I261" si="2">$E252*H252</f>
        <v>#DIV/0!</v>
      </c>
      <c r="J252" s="9" t="e">
        <f>H192</f>
        <v>#DIV/0!</v>
      </c>
      <c r="K252" s="9" t="e">
        <f t="shared" ref="K252:K261" si="3">$E252*J252</f>
        <v>#DIV/0!</v>
      </c>
      <c r="L252" s="165"/>
      <c r="M252" s="166"/>
      <c r="N252" s="108"/>
    </row>
    <row r="253" spans="1:14" x14ac:dyDescent="0.2">
      <c r="A253" s="295" t="s">
        <v>321</v>
      </c>
      <c r="B253" s="295"/>
      <c r="C253" s="295"/>
      <c r="D253" s="295"/>
      <c r="E253" s="225">
        <v>381.47</v>
      </c>
      <c r="F253" s="49" t="e">
        <f>D198</f>
        <v>#DIV/0!</v>
      </c>
      <c r="G253" s="9" t="e">
        <f t="shared" si="1"/>
        <v>#DIV/0!</v>
      </c>
      <c r="H253" s="49" t="e">
        <f>F198</f>
        <v>#DIV/0!</v>
      </c>
      <c r="I253" s="9" t="e">
        <f t="shared" si="2"/>
        <v>#DIV/0!</v>
      </c>
      <c r="J253" s="49" t="e">
        <f>H198</f>
        <v>#DIV/0!</v>
      </c>
      <c r="K253" s="9" t="e">
        <f t="shared" si="3"/>
        <v>#DIV/0!</v>
      </c>
      <c r="L253" s="165"/>
      <c r="M253" s="166"/>
      <c r="N253" s="108"/>
    </row>
    <row r="254" spans="1:14" x14ac:dyDescent="0.2">
      <c r="A254" s="295" t="s">
        <v>330</v>
      </c>
      <c r="B254" s="295"/>
      <c r="C254" s="295"/>
      <c r="D254" s="295"/>
      <c r="E254" s="225">
        <v>0</v>
      </c>
      <c r="F254" s="49" t="e">
        <f>D204</f>
        <v>#DIV/0!</v>
      </c>
      <c r="G254" s="9" t="e">
        <f t="shared" si="1"/>
        <v>#DIV/0!</v>
      </c>
      <c r="H254" s="49" t="e">
        <f>F204</f>
        <v>#DIV/0!</v>
      </c>
      <c r="I254" s="9" t="e">
        <f t="shared" si="2"/>
        <v>#DIV/0!</v>
      </c>
      <c r="J254" s="49" t="e">
        <f>H204</f>
        <v>#DIV/0!</v>
      </c>
      <c r="K254" s="9" t="e">
        <f t="shared" si="3"/>
        <v>#DIV/0!</v>
      </c>
      <c r="L254" s="165"/>
      <c r="M254" s="166"/>
      <c r="N254" s="108"/>
    </row>
    <row r="255" spans="1:14" x14ac:dyDescent="0.2">
      <c r="A255" s="295" t="s">
        <v>331</v>
      </c>
      <c r="B255" s="295"/>
      <c r="C255" s="295"/>
      <c r="D255" s="295"/>
      <c r="E255" s="225">
        <v>0</v>
      </c>
      <c r="F255" s="49" t="e">
        <f>D210</f>
        <v>#DIV/0!</v>
      </c>
      <c r="G255" s="9" t="e">
        <f t="shared" si="1"/>
        <v>#DIV/0!</v>
      </c>
      <c r="H255" s="49" t="e">
        <f>F210</f>
        <v>#DIV/0!</v>
      </c>
      <c r="I255" s="9" t="e">
        <f t="shared" si="2"/>
        <v>#DIV/0!</v>
      </c>
      <c r="J255" s="49" t="e">
        <f>H210</f>
        <v>#DIV/0!</v>
      </c>
      <c r="K255" s="9" t="e">
        <f t="shared" si="3"/>
        <v>#DIV/0!</v>
      </c>
      <c r="L255" s="165"/>
      <c r="M255" s="166"/>
      <c r="N255" s="108"/>
    </row>
    <row r="256" spans="1:14" x14ac:dyDescent="0.2">
      <c r="A256" s="295" t="s">
        <v>332</v>
      </c>
      <c r="B256" s="295"/>
      <c r="C256" s="295"/>
      <c r="D256" s="295"/>
      <c r="E256" s="225">
        <v>0</v>
      </c>
      <c r="F256" s="49" t="e">
        <f>D216</f>
        <v>#DIV/0!</v>
      </c>
      <c r="G256" s="9" t="e">
        <f t="shared" si="1"/>
        <v>#DIV/0!</v>
      </c>
      <c r="H256" s="49" t="e">
        <f>F216</f>
        <v>#DIV/0!</v>
      </c>
      <c r="I256" s="9" t="e">
        <f t="shared" si="2"/>
        <v>#DIV/0!</v>
      </c>
      <c r="J256" s="49" t="e">
        <f>H216</f>
        <v>#DIV/0!</v>
      </c>
      <c r="K256" s="9" t="e">
        <f t="shared" si="3"/>
        <v>#DIV/0!</v>
      </c>
      <c r="L256" s="165"/>
      <c r="M256" s="166"/>
      <c r="N256" s="108"/>
    </row>
    <row r="257" spans="1:14" x14ac:dyDescent="0.2">
      <c r="A257" s="295" t="s">
        <v>325</v>
      </c>
      <c r="B257" s="295"/>
      <c r="C257" s="295"/>
      <c r="D257" s="295"/>
      <c r="E257" s="225">
        <v>0</v>
      </c>
      <c r="F257" s="49" t="e">
        <f>D222</f>
        <v>#DIV/0!</v>
      </c>
      <c r="G257" s="9" t="e">
        <f t="shared" si="1"/>
        <v>#DIV/0!</v>
      </c>
      <c r="H257" s="49" t="e">
        <f>F222</f>
        <v>#DIV/0!</v>
      </c>
      <c r="I257" s="9" t="e">
        <f t="shared" si="2"/>
        <v>#DIV/0!</v>
      </c>
      <c r="J257" s="49" t="e">
        <f>H222</f>
        <v>#DIV/0!</v>
      </c>
      <c r="K257" s="9" t="e">
        <f t="shared" si="3"/>
        <v>#DIV/0!</v>
      </c>
      <c r="L257" s="165"/>
      <c r="M257" s="166"/>
      <c r="N257" s="108"/>
    </row>
    <row r="258" spans="1:14" x14ac:dyDescent="0.2">
      <c r="A258" s="295" t="s">
        <v>326</v>
      </c>
      <c r="B258" s="295"/>
      <c r="C258" s="295"/>
      <c r="D258" s="295"/>
      <c r="E258" s="225">
        <v>17829.66</v>
      </c>
      <c r="F258" s="49" t="e">
        <f>D228</f>
        <v>#DIV/0!</v>
      </c>
      <c r="G258" s="9" t="e">
        <f t="shared" si="1"/>
        <v>#DIV/0!</v>
      </c>
      <c r="H258" s="49" t="e">
        <f>F228</f>
        <v>#DIV/0!</v>
      </c>
      <c r="I258" s="9" t="e">
        <f t="shared" si="2"/>
        <v>#DIV/0!</v>
      </c>
      <c r="J258" s="49" t="e">
        <f>H228</f>
        <v>#DIV/0!</v>
      </c>
      <c r="K258" s="9" t="e">
        <f t="shared" si="3"/>
        <v>#DIV/0!</v>
      </c>
      <c r="L258" s="165"/>
      <c r="M258" s="166"/>
      <c r="N258" s="108"/>
    </row>
    <row r="259" spans="1:14" x14ac:dyDescent="0.2">
      <c r="A259" s="295" t="s">
        <v>327</v>
      </c>
      <c r="B259" s="295"/>
      <c r="C259" s="295"/>
      <c r="D259" s="295"/>
      <c r="E259" s="225">
        <v>500.7</v>
      </c>
      <c r="F259" s="49" t="e">
        <f>G234</f>
        <v>#DIV/0!</v>
      </c>
      <c r="G259" s="9" t="e">
        <f t="shared" si="1"/>
        <v>#DIV/0!</v>
      </c>
      <c r="H259" s="49" t="e">
        <f>I234</f>
        <v>#DIV/0!</v>
      </c>
      <c r="I259" s="9" t="e">
        <f t="shared" si="2"/>
        <v>#DIV/0!</v>
      </c>
      <c r="J259" s="49" t="e">
        <f>K234</f>
        <v>#DIV/0!</v>
      </c>
      <c r="K259" s="9" t="e">
        <f t="shared" si="3"/>
        <v>#DIV/0!</v>
      </c>
      <c r="L259" s="165"/>
      <c r="M259" s="166"/>
      <c r="N259" s="108"/>
    </row>
    <row r="260" spans="1:14" x14ac:dyDescent="0.2">
      <c r="A260" s="295" t="s">
        <v>328</v>
      </c>
      <c r="B260" s="295"/>
      <c r="C260" s="295"/>
      <c r="D260" s="295"/>
      <c r="E260" s="225">
        <v>0</v>
      </c>
      <c r="F260" s="49" t="e">
        <f>G240</f>
        <v>#DIV/0!</v>
      </c>
      <c r="G260" s="9" t="e">
        <f t="shared" si="1"/>
        <v>#DIV/0!</v>
      </c>
      <c r="H260" s="49" t="e">
        <f>I240</f>
        <v>#DIV/0!</v>
      </c>
      <c r="I260" s="9" t="e">
        <f t="shared" si="2"/>
        <v>#DIV/0!</v>
      </c>
      <c r="J260" s="49" t="e">
        <f>K240</f>
        <v>#DIV/0!</v>
      </c>
      <c r="K260" s="9" t="e">
        <f t="shared" si="3"/>
        <v>#DIV/0!</v>
      </c>
      <c r="L260" s="165"/>
      <c r="M260" s="166"/>
      <c r="N260" s="108"/>
    </row>
    <row r="261" spans="1:14" x14ac:dyDescent="0.2">
      <c r="A261" s="295" t="s">
        <v>333</v>
      </c>
      <c r="B261" s="295"/>
      <c r="C261" s="295"/>
      <c r="D261" s="295"/>
      <c r="E261" s="225">
        <v>0</v>
      </c>
      <c r="F261" s="9" t="e">
        <f>G246</f>
        <v>#DIV/0!</v>
      </c>
      <c r="G261" s="9" t="e">
        <f t="shared" si="1"/>
        <v>#DIV/0!</v>
      </c>
      <c r="H261" s="9" t="e">
        <f>I246</f>
        <v>#DIV/0!</v>
      </c>
      <c r="I261" s="9" t="e">
        <f t="shared" si="2"/>
        <v>#DIV/0!</v>
      </c>
      <c r="J261" s="9" t="e">
        <f>K246</f>
        <v>#DIV/0!</v>
      </c>
      <c r="K261" s="9" t="e">
        <f t="shared" si="3"/>
        <v>#DIV/0!</v>
      </c>
      <c r="L261" s="165"/>
      <c r="M261" s="166"/>
      <c r="N261" s="108"/>
    </row>
    <row r="262" spans="1:14" ht="15" customHeight="1" x14ac:dyDescent="0.2">
      <c r="A262" s="299" t="s">
        <v>116</v>
      </c>
      <c r="B262" s="299"/>
      <c r="C262" s="299"/>
      <c r="D262" s="299"/>
      <c r="E262" s="110">
        <f>SUM(E251:E261)</f>
        <v>19580.23</v>
      </c>
      <c r="F262" s="201" t="s">
        <v>127</v>
      </c>
      <c r="G262" s="62" t="e">
        <f>SUM(G251:G261)</f>
        <v>#DIV/0!</v>
      </c>
      <c r="H262" s="201" t="s">
        <v>127</v>
      </c>
      <c r="I262" s="62" t="e">
        <f>SUM(I251:I261)</f>
        <v>#DIV/0!</v>
      </c>
      <c r="J262" s="201" t="s">
        <v>127</v>
      </c>
      <c r="K262" s="62" t="e">
        <f>SUM(K251:K261)</f>
        <v>#DIV/0!</v>
      </c>
      <c r="L262" s="108"/>
      <c r="M262" s="108"/>
      <c r="N262" s="108"/>
    </row>
    <row r="263" spans="1:14" x14ac:dyDescent="0.2">
      <c r="A263" s="3"/>
      <c r="B263" s="3"/>
      <c r="C263" s="3"/>
      <c r="D263" s="3"/>
      <c r="E263" s="3"/>
      <c r="F263" s="20"/>
      <c r="G263" s="170"/>
      <c r="L263" s="108"/>
      <c r="M263" s="108"/>
      <c r="N263" s="108"/>
    </row>
    <row r="264" spans="1:14" x14ac:dyDescent="0.2">
      <c r="A264" s="6" t="s">
        <v>117</v>
      </c>
      <c r="B264" s="6"/>
      <c r="C264" s="6"/>
      <c r="D264" s="6"/>
      <c r="E264" s="6"/>
      <c r="F264" s="21"/>
      <c r="G264" s="21"/>
    </row>
    <row r="265" spans="1:14" ht="15" customHeight="1" x14ac:dyDescent="0.2">
      <c r="A265" s="298" t="s">
        <v>118</v>
      </c>
      <c r="B265" s="298"/>
      <c r="C265" s="298"/>
      <c r="D265" s="298"/>
      <c r="E265" s="298"/>
      <c r="F265" s="299"/>
      <c r="G265" s="299"/>
      <c r="H265" s="299"/>
      <c r="I265" s="299"/>
      <c r="J265" s="299"/>
      <c r="K265" s="299"/>
    </row>
    <row r="266" spans="1:14" ht="15" customHeight="1" x14ac:dyDescent="0.2">
      <c r="A266" s="304"/>
      <c r="B266" s="300" t="s">
        <v>119</v>
      </c>
      <c r="C266" s="300"/>
      <c r="D266" s="300"/>
      <c r="E266" s="301"/>
      <c r="F266" s="277" t="s">
        <v>184</v>
      </c>
      <c r="G266" s="296"/>
      <c r="H266" s="296" t="s">
        <v>185</v>
      </c>
      <c r="I266" s="296"/>
      <c r="J266" s="296" t="s">
        <v>158</v>
      </c>
      <c r="K266" s="296"/>
    </row>
    <row r="267" spans="1:14" x14ac:dyDescent="0.2">
      <c r="A267" s="305"/>
      <c r="B267" s="302"/>
      <c r="C267" s="302"/>
      <c r="D267" s="302"/>
      <c r="E267" s="303"/>
      <c r="F267" s="273" t="s">
        <v>29</v>
      </c>
      <c r="G267" s="275"/>
      <c r="H267" s="275" t="s">
        <v>29</v>
      </c>
      <c r="I267" s="275"/>
      <c r="J267" s="275" t="s">
        <v>29</v>
      </c>
      <c r="K267" s="275"/>
    </row>
    <row r="268" spans="1:14" x14ac:dyDescent="0.2">
      <c r="A268" s="208" t="s">
        <v>4</v>
      </c>
      <c r="B268" s="316" t="s">
        <v>120</v>
      </c>
      <c r="C268" s="316"/>
      <c r="D268" s="316"/>
      <c r="E268" s="316"/>
      <c r="F268" s="297" t="e">
        <f>G262</f>
        <v>#DIV/0!</v>
      </c>
      <c r="G268" s="281"/>
      <c r="H268" s="297" t="e">
        <f>I262</f>
        <v>#DIV/0!</v>
      </c>
      <c r="I268" s="281"/>
      <c r="J268" s="297" t="e">
        <f>K262</f>
        <v>#DIV/0!</v>
      </c>
      <c r="K268" s="281"/>
    </row>
    <row r="269" spans="1:14" ht="27.75" customHeight="1" x14ac:dyDescent="0.2">
      <c r="A269" s="203" t="s">
        <v>6</v>
      </c>
      <c r="B269" s="295" t="s">
        <v>151</v>
      </c>
      <c r="C269" s="295"/>
      <c r="D269" s="295"/>
      <c r="E269" s="295"/>
      <c r="F269" s="297" t="e">
        <f>F268*$E$14</f>
        <v>#DIV/0!</v>
      </c>
      <c r="G269" s="281"/>
      <c r="H269" s="297" t="e">
        <f>H268*$E$14</f>
        <v>#DIV/0!</v>
      </c>
      <c r="I269" s="281"/>
      <c r="J269" s="297" t="e">
        <f>J268*$E$14</f>
        <v>#DIV/0!</v>
      </c>
      <c r="K269" s="281"/>
    </row>
    <row r="270" spans="1:14" x14ac:dyDescent="0.2">
      <c r="A270" s="2" t="s">
        <v>121</v>
      </c>
      <c r="B270" s="23"/>
      <c r="C270" s="23"/>
      <c r="D270" s="23"/>
      <c r="E270" s="23"/>
      <c r="F270" s="2"/>
      <c r="G270" s="2"/>
    </row>
    <row r="271" spans="1:14" x14ac:dyDescent="0.2">
      <c r="G271" s="167"/>
      <c r="I271" s="167"/>
      <c r="K271" s="167"/>
      <c r="L271" s="241" t="e">
        <f>J268/J245</f>
        <v>#DIV/0!</v>
      </c>
    </row>
    <row r="272" spans="1:14" x14ac:dyDescent="0.2">
      <c r="G272" s="167"/>
      <c r="I272" s="167"/>
      <c r="K272" s="167"/>
    </row>
    <row r="274" spans="7:11" x14ac:dyDescent="0.2">
      <c r="G274" s="167"/>
      <c r="I274" s="167"/>
      <c r="K274" s="167"/>
    </row>
    <row r="275" spans="7:11" x14ac:dyDescent="0.2">
      <c r="G275" s="167"/>
      <c r="I275" s="167"/>
      <c r="K275" s="167"/>
    </row>
    <row r="279" spans="7:11" x14ac:dyDescent="0.2">
      <c r="G279" s="168"/>
    </row>
    <row r="283" spans="7:11" x14ac:dyDescent="0.2">
      <c r="K283" s="167"/>
    </row>
  </sheetData>
  <mergeCells count="207">
    <mergeCell ref="B11:D11"/>
    <mergeCell ref="E11:F11"/>
    <mergeCell ref="B12:D12"/>
    <mergeCell ref="E12:F12"/>
    <mergeCell ref="B13:D13"/>
    <mergeCell ref="E13:F13"/>
    <mergeCell ref="A1:G1"/>
    <mergeCell ref="A2:G2"/>
    <mergeCell ref="B4:C4"/>
    <mergeCell ref="B5:C5"/>
    <mergeCell ref="B7:C7"/>
    <mergeCell ref="E7:F7"/>
    <mergeCell ref="A22:E22"/>
    <mergeCell ref="B23:D23"/>
    <mergeCell ref="B24:D24"/>
    <mergeCell ref="B25:D25"/>
    <mergeCell ref="B26:D26"/>
    <mergeCell ref="B27:D27"/>
    <mergeCell ref="B14:D14"/>
    <mergeCell ref="E14:F14"/>
    <mergeCell ref="A17:B17"/>
    <mergeCell ref="D17:E17"/>
    <mergeCell ref="A18:B18"/>
    <mergeCell ref="D18:E18"/>
    <mergeCell ref="B37:C37"/>
    <mergeCell ref="B38:C38"/>
    <mergeCell ref="A39:C39"/>
    <mergeCell ref="A40:E40"/>
    <mergeCell ref="B44:D44"/>
    <mergeCell ref="B45:D45"/>
    <mergeCell ref="B31:C31"/>
    <mergeCell ref="B32:C32"/>
    <mergeCell ref="B33:C33"/>
    <mergeCell ref="B34:C34"/>
    <mergeCell ref="B35:C35"/>
    <mergeCell ref="B36:C36"/>
    <mergeCell ref="B54:C54"/>
    <mergeCell ref="B55:C55"/>
    <mergeCell ref="B56:C56"/>
    <mergeCell ref="B57:C57"/>
    <mergeCell ref="B58:C58"/>
    <mergeCell ref="B59:C59"/>
    <mergeCell ref="B46:D46"/>
    <mergeCell ref="A47:D47"/>
    <mergeCell ref="A48:F48"/>
    <mergeCell ref="A49:F49"/>
    <mergeCell ref="B52:C52"/>
    <mergeCell ref="B53:C53"/>
    <mergeCell ref="B71:D71"/>
    <mergeCell ref="B72:D72"/>
    <mergeCell ref="B73:D73"/>
    <mergeCell ref="B74:D74"/>
    <mergeCell ref="A75:D75"/>
    <mergeCell ref="A77:G77"/>
    <mergeCell ref="B60:C60"/>
    <mergeCell ref="A61:D61"/>
    <mergeCell ref="A62:D62"/>
    <mergeCell ref="B68:D68"/>
    <mergeCell ref="B69:D69"/>
    <mergeCell ref="B70:D70"/>
    <mergeCell ref="B88:D88"/>
    <mergeCell ref="B89:D89"/>
    <mergeCell ref="A90:A92"/>
    <mergeCell ref="B90:D90"/>
    <mergeCell ref="G90:V90"/>
    <mergeCell ref="B91:D91"/>
    <mergeCell ref="B92:D92"/>
    <mergeCell ref="B80:D80"/>
    <mergeCell ref="B81:D81"/>
    <mergeCell ref="B82:D82"/>
    <mergeCell ref="B83:D83"/>
    <mergeCell ref="A84:D84"/>
    <mergeCell ref="B87:D87"/>
    <mergeCell ref="A102:G102"/>
    <mergeCell ref="A103:G103"/>
    <mergeCell ref="B106:D106"/>
    <mergeCell ref="B107:D107"/>
    <mergeCell ref="G107:AA107"/>
    <mergeCell ref="B108:D108"/>
    <mergeCell ref="B93:D93"/>
    <mergeCell ref="B94:D94"/>
    <mergeCell ref="B95:D95"/>
    <mergeCell ref="B96:D96"/>
    <mergeCell ref="B97:D97"/>
    <mergeCell ref="A98:D98"/>
    <mergeCell ref="A115:G115"/>
    <mergeCell ref="B118:D118"/>
    <mergeCell ref="B119:D119"/>
    <mergeCell ref="B120:D120"/>
    <mergeCell ref="B121:D121"/>
    <mergeCell ref="B122:D122"/>
    <mergeCell ref="B109:D109"/>
    <mergeCell ref="B110:D110"/>
    <mergeCell ref="B111:D111"/>
    <mergeCell ref="B112:D112"/>
    <mergeCell ref="B113:D113"/>
    <mergeCell ref="A114:D114"/>
    <mergeCell ref="B133:D133"/>
    <mergeCell ref="B134:D134"/>
    <mergeCell ref="B135:D135"/>
    <mergeCell ref="A136:D136"/>
    <mergeCell ref="B140:C140"/>
    <mergeCell ref="B141:C141"/>
    <mergeCell ref="A123:D123"/>
    <mergeCell ref="B126:D126"/>
    <mergeCell ref="B127:D127"/>
    <mergeCell ref="A128:D128"/>
    <mergeCell ref="A129:G129"/>
    <mergeCell ref="B132:D132"/>
    <mergeCell ref="H151:I151"/>
    <mergeCell ref="J151:K151"/>
    <mergeCell ref="B153:C153"/>
    <mergeCell ref="B154:C154"/>
    <mergeCell ref="B155:C155"/>
    <mergeCell ref="B156:C156"/>
    <mergeCell ref="J156:T156"/>
    <mergeCell ref="B142:C142"/>
    <mergeCell ref="B143:C143"/>
    <mergeCell ref="B144:C144"/>
    <mergeCell ref="A145:C145"/>
    <mergeCell ref="A147:G147"/>
    <mergeCell ref="A151:A152"/>
    <mergeCell ref="B151:C152"/>
    <mergeCell ref="D151:E151"/>
    <mergeCell ref="F151:G151"/>
    <mergeCell ref="A163:C163"/>
    <mergeCell ref="B168:C168"/>
    <mergeCell ref="B169:C169"/>
    <mergeCell ref="B170:C170"/>
    <mergeCell ref="B171:C171"/>
    <mergeCell ref="B172:C172"/>
    <mergeCell ref="B157:C157"/>
    <mergeCell ref="B158:C158"/>
    <mergeCell ref="B159:C159"/>
    <mergeCell ref="B160:C160"/>
    <mergeCell ref="B161:C161"/>
    <mergeCell ref="B162:C162"/>
    <mergeCell ref="G183:H183"/>
    <mergeCell ref="C189:D189"/>
    <mergeCell ref="E189:F189"/>
    <mergeCell ref="G189:H189"/>
    <mergeCell ref="C195:D195"/>
    <mergeCell ref="E195:F195"/>
    <mergeCell ref="G195:H195"/>
    <mergeCell ref="B173:C173"/>
    <mergeCell ref="A174:C174"/>
    <mergeCell ref="B175:C175"/>
    <mergeCell ref="A176:C176"/>
    <mergeCell ref="C183:D183"/>
    <mergeCell ref="E183:F183"/>
    <mergeCell ref="C213:D213"/>
    <mergeCell ref="E213:F213"/>
    <mergeCell ref="G213:H213"/>
    <mergeCell ref="C219:D219"/>
    <mergeCell ref="E219:F219"/>
    <mergeCell ref="G219:H219"/>
    <mergeCell ref="C201:D201"/>
    <mergeCell ref="E201:F201"/>
    <mergeCell ref="G201:H201"/>
    <mergeCell ref="C207:D207"/>
    <mergeCell ref="E207:F207"/>
    <mergeCell ref="G207:H207"/>
    <mergeCell ref="F237:G237"/>
    <mergeCell ref="H237:I237"/>
    <mergeCell ref="J237:K237"/>
    <mergeCell ref="F243:G243"/>
    <mergeCell ref="H243:I243"/>
    <mergeCell ref="J243:K243"/>
    <mergeCell ref="C225:D225"/>
    <mergeCell ref="E225:F225"/>
    <mergeCell ref="G225:H225"/>
    <mergeCell ref="F231:G231"/>
    <mergeCell ref="H231:I231"/>
    <mergeCell ref="J231:K231"/>
    <mergeCell ref="A253:D253"/>
    <mergeCell ref="A254:D254"/>
    <mergeCell ref="A255:D255"/>
    <mergeCell ref="A256:D256"/>
    <mergeCell ref="A257:D257"/>
    <mergeCell ref="A258:D258"/>
    <mergeCell ref="F249:G249"/>
    <mergeCell ref="H249:I249"/>
    <mergeCell ref="J249:K249"/>
    <mergeCell ref="A250:D250"/>
    <mergeCell ref="A251:D251"/>
    <mergeCell ref="A252:D252"/>
    <mergeCell ref="A259:D259"/>
    <mergeCell ref="A260:D260"/>
    <mergeCell ref="A261:D261"/>
    <mergeCell ref="A262:D262"/>
    <mergeCell ref="A265:K265"/>
    <mergeCell ref="A266:A267"/>
    <mergeCell ref="B266:E267"/>
    <mergeCell ref="F266:G266"/>
    <mergeCell ref="H266:I266"/>
    <mergeCell ref="J266:K266"/>
    <mergeCell ref="B269:E269"/>
    <mergeCell ref="F269:G269"/>
    <mergeCell ref="H269:I269"/>
    <mergeCell ref="J269:K269"/>
    <mergeCell ref="F267:G267"/>
    <mergeCell ref="H267:I267"/>
    <mergeCell ref="J267:K267"/>
    <mergeCell ref="B268:E268"/>
    <mergeCell ref="F268:G268"/>
    <mergeCell ref="H268:I268"/>
    <mergeCell ref="J268:K268"/>
  </mergeCells>
  <conditionalFormatting sqref="D178:G178">
    <cfRule type="cellIs" dxfId="1" priority="1" operator="equal">
      <formula>"Erro"</formula>
    </cfRule>
    <cfRule type="cellIs" dxfId="0" priority="2" operator="equal">
      <formula>"Ok"</formula>
    </cfRule>
  </conditionalFormatting>
  <printOptions horizontalCentered="1"/>
  <pageMargins left="0.23622047244094491" right="0.23622047244094491" top="0.98425196850393704" bottom="0.74803149606299213" header="0.31496062992125984" footer="0.31496062992125984"/>
  <pageSetup paperSize="9" scale="42" fitToHeight="0" orientation="landscape" r:id="rId1"/>
  <headerFooter>
    <oddFooter>&amp;R&amp;P/&amp;N</oddFooter>
  </headerFooter>
  <rowBreaks count="5" manualBreakCount="5">
    <brk id="49" max="26" man="1"/>
    <brk id="103" max="26" man="1"/>
    <brk id="147" max="26" man="1"/>
    <brk id="204" max="26" man="1"/>
    <brk id="262" max="2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D17"/>
  <sheetViews>
    <sheetView showGridLines="0" view="pageBreakPreview" topLeftCell="A10" zoomScaleNormal="90" zoomScaleSheetLayoutView="100" workbookViewId="0">
      <selection activeCell="B15" sqref="B15"/>
    </sheetView>
  </sheetViews>
  <sheetFormatPr defaultRowHeight="15" x14ac:dyDescent="0.25"/>
  <cols>
    <col min="1" max="1" width="34.140625" customWidth="1"/>
    <col min="2" max="2" width="13.140625" customWidth="1"/>
    <col min="3" max="3" width="13.85546875" bestFit="1" customWidth="1"/>
  </cols>
  <sheetData>
    <row r="1" spans="1:4" ht="18" customHeight="1" x14ac:dyDescent="0.25">
      <c r="A1" s="5" t="s">
        <v>309</v>
      </c>
      <c r="B1" s="5"/>
    </row>
    <row r="2" spans="1:4" ht="38.25" x14ac:dyDescent="0.25">
      <c r="A2" s="188" t="str">
        <f>A1</f>
        <v>Item 2.3 - Transporte (quando o local da prestação do serviço é servido de transporte público)</v>
      </c>
      <c r="B2" s="188" t="s">
        <v>29</v>
      </c>
    </row>
    <row r="3" spans="1:4" ht="15" customHeight="1" x14ac:dyDescent="0.25">
      <c r="A3" s="191" t="s">
        <v>221</v>
      </c>
      <c r="B3" s="216">
        <v>0</v>
      </c>
      <c r="D3" s="90"/>
    </row>
    <row r="4" spans="1:4" ht="15" customHeight="1" x14ac:dyDescent="0.25">
      <c r="A4" s="191" t="s">
        <v>222</v>
      </c>
      <c r="B4" s="217">
        <v>0</v>
      </c>
      <c r="D4" s="90"/>
    </row>
    <row r="5" spans="1:4" ht="15" customHeight="1" x14ac:dyDescent="0.25">
      <c r="A5" s="191" t="s">
        <v>223</v>
      </c>
      <c r="B5" s="217">
        <v>22</v>
      </c>
      <c r="D5" s="90"/>
    </row>
    <row r="6" spans="1:4" ht="15" customHeight="1" x14ac:dyDescent="0.25">
      <c r="A6" s="191" t="s">
        <v>310</v>
      </c>
      <c r="B6" s="216">
        <f>B3*B4*B5</f>
        <v>0</v>
      </c>
      <c r="D6" s="90"/>
    </row>
    <row r="7" spans="1:4" x14ac:dyDescent="0.25">
      <c r="A7" s="191" t="s">
        <v>311</v>
      </c>
      <c r="B7" s="218">
        <v>0.06</v>
      </c>
    </row>
    <row r="8" spans="1:4" x14ac:dyDescent="0.25">
      <c r="A8" s="191" t="s">
        <v>312</v>
      </c>
      <c r="B8" s="216">
        <v>0</v>
      </c>
    </row>
    <row r="9" spans="1:4" x14ac:dyDescent="0.25">
      <c r="A9" s="63" t="s">
        <v>40</v>
      </c>
      <c r="B9" s="219">
        <f>B6-B8</f>
        <v>0</v>
      </c>
    </row>
    <row r="10" spans="1:4" x14ac:dyDescent="0.25">
      <c r="A10" s="171"/>
      <c r="B10" s="171"/>
    </row>
    <row r="11" spans="1:4" x14ac:dyDescent="0.25">
      <c r="A11" s="5" t="s">
        <v>313</v>
      </c>
      <c r="B11" s="5"/>
      <c r="C11" s="171"/>
    </row>
    <row r="12" spans="1:4" ht="51" x14ac:dyDescent="0.25">
      <c r="A12" s="202" t="str">
        <f>A11</f>
        <v>Item 2.3 - Outros (especificar) Custo de transporte dos empregados (fretamento para local não servido de transporte público)</v>
      </c>
      <c r="B12" s="202" t="s">
        <v>29</v>
      </c>
      <c r="C12" s="171"/>
    </row>
    <row r="13" spans="1:4" ht="27" customHeight="1" x14ac:dyDescent="0.25">
      <c r="A13" s="200" t="s">
        <v>314</v>
      </c>
      <c r="B13" s="217">
        <v>0</v>
      </c>
      <c r="C13" s="171"/>
    </row>
    <row r="14" spans="1:4" x14ac:dyDescent="0.25">
      <c r="A14" s="200" t="s">
        <v>315</v>
      </c>
      <c r="B14" s="220">
        <v>0</v>
      </c>
      <c r="C14" s="171"/>
    </row>
    <row r="15" spans="1:4" ht="25.5" x14ac:dyDescent="0.25">
      <c r="A15" s="200" t="s">
        <v>316</v>
      </c>
      <c r="B15" s="220" t="e">
        <f>B14/B13</f>
        <v>#DIV/0!</v>
      </c>
      <c r="C15" s="236"/>
    </row>
    <row r="16" spans="1:4" ht="25.5" x14ac:dyDescent="0.25">
      <c r="A16" s="63" t="s">
        <v>317</v>
      </c>
      <c r="B16" s="219" t="e">
        <f>B15</f>
        <v>#DIV/0!</v>
      </c>
      <c r="C16" s="171"/>
    </row>
    <row r="17" spans="1:3" x14ac:dyDescent="0.25">
      <c r="A17" s="171"/>
      <c r="B17" s="171"/>
      <c r="C17" s="171"/>
    </row>
  </sheetData>
  <pageMargins left="0.511811024" right="0.511811024" top="0.78740157499999996" bottom="0.78740157499999996" header="0.31496062000000002" footer="0.31496062000000002"/>
  <pageSetup paperSize="9" scale="9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F6"/>
  <sheetViews>
    <sheetView showGridLines="0" view="pageBreakPreview" zoomScaleNormal="90" zoomScaleSheetLayoutView="100" workbookViewId="0">
      <selection activeCell="B5" sqref="B5"/>
    </sheetView>
  </sheetViews>
  <sheetFormatPr defaultRowHeight="15" x14ac:dyDescent="0.25"/>
  <cols>
    <col min="1" max="1" width="34.140625" customWidth="1"/>
    <col min="2" max="2" width="13.140625" customWidth="1"/>
    <col min="6" max="6" width="9.85546875" bestFit="1" customWidth="1"/>
  </cols>
  <sheetData>
    <row r="1" spans="1:6" ht="18.75" customHeight="1" x14ac:dyDescent="0.25">
      <c r="A1" s="5" t="s">
        <v>224</v>
      </c>
      <c r="B1" s="5"/>
    </row>
    <row r="2" spans="1:6" x14ac:dyDescent="0.25">
      <c r="A2" s="72" t="str">
        <f>A1</f>
        <v>2.3-Aux. Refeição-Alimentação</v>
      </c>
      <c r="B2" s="72" t="s">
        <v>29</v>
      </c>
    </row>
    <row r="3" spans="1:6" ht="15" customHeight="1" x14ac:dyDescent="0.25">
      <c r="A3" s="73" t="s">
        <v>225</v>
      </c>
      <c r="B3" s="89">
        <v>0</v>
      </c>
      <c r="D3" s="90"/>
    </row>
    <row r="4" spans="1:6" ht="15" customHeight="1" x14ac:dyDescent="0.25">
      <c r="A4" s="73" t="s">
        <v>223</v>
      </c>
      <c r="B4" s="88">
        <v>22</v>
      </c>
      <c r="D4" s="90"/>
      <c r="F4" s="90"/>
    </row>
    <row r="5" spans="1:6" ht="15" customHeight="1" x14ac:dyDescent="0.25">
      <c r="A5" s="111" t="s">
        <v>248</v>
      </c>
      <c r="B5" s="89">
        <f>(B3*B4)*0.2</f>
        <v>0</v>
      </c>
      <c r="D5" s="90"/>
      <c r="F5" s="90"/>
    </row>
    <row r="6" spans="1:6" x14ac:dyDescent="0.25">
      <c r="A6" s="63" t="s">
        <v>40</v>
      </c>
      <c r="B6" s="35">
        <f>(B3*B4)-B5</f>
        <v>0</v>
      </c>
      <c r="F6" s="90"/>
    </row>
  </sheetData>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H45"/>
  <sheetViews>
    <sheetView showGridLines="0" view="pageBreakPreview" topLeftCell="A40" zoomScaleNormal="90" zoomScaleSheetLayoutView="100" workbookViewId="0">
      <selection activeCell="A43" sqref="A43:XFD44"/>
    </sheetView>
  </sheetViews>
  <sheetFormatPr defaultColWidth="47.85546875" defaultRowHeight="15" x14ac:dyDescent="0.25"/>
  <cols>
    <col min="1" max="1" width="5.42578125" style="7" bestFit="1" customWidth="1"/>
    <col min="2" max="2" width="60.42578125" style="12" customWidth="1"/>
    <col min="3" max="3" width="19.140625" style="11" customWidth="1"/>
    <col min="4" max="5" width="17.85546875" style="7" bestFit="1" customWidth="1"/>
    <col min="6" max="6" width="13" style="7" customWidth="1"/>
    <col min="7" max="7" width="17.7109375" style="7" customWidth="1"/>
    <col min="8" max="8" width="13.42578125" style="7" customWidth="1"/>
    <col min="9" max="16384" width="47.85546875" style="7"/>
  </cols>
  <sheetData>
    <row r="1" spans="1:8" x14ac:dyDescent="0.25">
      <c r="A1" s="350" t="s">
        <v>145</v>
      </c>
      <c r="B1" s="350"/>
      <c r="C1" s="350"/>
      <c r="D1" s="350"/>
      <c r="E1" s="350"/>
      <c r="F1" s="350"/>
      <c r="G1" s="350"/>
      <c r="H1" s="350"/>
    </row>
    <row r="2" spans="1:8" x14ac:dyDescent="0.25">
      <c r="A2" s="351" t="s">
        <v>134</v>
      </c>
      <c r="B2" s="351"/>
      <c r="C2" s="351"/>
      <c r="D2" s="351"/>
      <c r="E2" s="351"/>
      <c r="F2" s="351"/>
      <c r="G2" s="351"/>
      <c r="H2" s="351"/>
    </row>
    <row r="3" spans="1:8" s="94" customFormat="1" ht="26.25" thickBot="1" x14ac:dyDescent="0.3">
      <c r="A3" s="181" t="s">
        <v>122</v>
      </c>
      <c r="B3" s="181" t="s">
        <v>123</v>
      </c>
      <c r="C3" s="181" t="s">
        <v>124</v>
      </c>
      <c r="D3" s="181" t="s">
        <v>274</v>
      </c>
      <c r="E3" s="181" t="s">
        <v>256</v>
      </c>
      <c r="F3" s="181" t="s">
        <v>135</v>
      </c>
      <c r="G3" s="181" t="s">
        <v>364</v>
      </c>
      <c r="H3" s="181" t="s">
        <v>136</v>
      </c>
    </row>
    <row r="4" spans="1:8" s="95" customFormat="1" ht="64.5" customHeight="1" thickBot="1" x14ac:dyDescent="0.3">
      <c r="A4" s="174">
        <v>1</v>
      </c>
      <c r="B4" s="175" t="s">
        <v>370</v>
      </c>
      <c r="C4" s="212" t="s">
        <v>125</v>
      </c>
      <c r="D4" s="357">
        <v>22</v>
      </c>
      <c r="E4" s="176">
        <f>D4*12</f>
        <v>264</v>
      </c>
      <c r="F4" s="253"/>
      <c r="G4" s="182">
        <f t="shared" ref="G4:G35" si="0">E4*F4</f>
        <v>0</v>
      </c>
      <c r="H4" s="183" t="e">
        <f>G4/'Comp. Hom-Mês-Serv. DIÁRIA'!$E$14</f>
        <v>#DIV/0!</v>
      </c>
    </row>
    <row r="5" spans="1:8" s="95" customFormat="1" ht="64.5" customHeight="1" thickBot="1" x14ac:dyDescent="0.3">
      <c r="A5" s="259">
        <v>2</v>
      </c>
      <c r="B5" s="178" t="s">
        <v>371</v>
      </c>
      <c r="C5" s="213" t="s">
        <v>125</v>
      </c>
      <c r="D5" s="244">
        <v>12</v>
      </c>
      <c r="E5" s="177">
        <f>D5*12</f>
        <v>144</v>
      </c>
      <c r="F5" s="253"/>
      <c r="G5" s="182">
        <f t="shared" si="0"/>
        <v>0</v>
      </c>
      <c r="H5" s="183" t="e">
        <f>G5/'Comp. Hom-Mês-Serv. DIÁRIA'!$E$14</f>
        <v>#DIV/0!</v>
      </c>
    </row>
    <row r="6" spans="1:8" s="95" customFormat="1" ht="64.5" customHeight="1" thickBot="1" x14ac:dyDescent="0.3">
      <c r="A6" s="174">
        <v>3</v>
      </c>
      <c r="B6" s="178" t="s">
        <v>372</v>
      </c>
      <c r="C6" s="213" t="s">
        <v>125</v>
      </c>
      <c r="D6" s="244">
        <v>20</v>
      </c>
      <c r="E6" s="177">
        <v>2</v>
      </c>
      <c r="F6" s="253"/>
      <c r="G6" s="182">
        <f t="shared" si="0"/>
        <v>0</v>
      </c>
      <c r="H6" s="183" t="e">
        <f>G6/'Comp. Hom-Mês-Serv. DIÁRIA'!$E$14</f>
        <v>#DIV/0!</v>
      </c>
    </row>
    <row r="7" spans="1:8" s="95" customFormat="1" ht="64.5" customHeight="1" thickBot="1" x14ac:dyDescent="0.3">
      <c r="A7" s="174">
        <v>4</v>
      </c>
      <c r="B7" s="245" t="s">
        <v>401</v>
      </c>
      <c r="C7" s="244" t="s">
        <v>125</v>
      </c>
      <c r="D7" s="244">
        <v>11</v>
      </c>
      <c r="E7" s="246">
        <f>D7*12</f>
        <v>132</v>
      </c>
      <c r="F7" s="253"/>
      <c r="G7" s="182">
        <f>E7*F7</f>
        <v>0</v>
      </c>
      <c r="H7" s="183" t="e">
        <f>G7/'Comp. Hom-Mês-Serv. DIÁRIA'!$E$14</f>
        <v>#DIV/0!</v>
      </c>
    </row>
    <row r="8" spans="1:8" s="95" customFormat="1" ht="64.5" customHeight="1" thickBot="1" x14ac:dyDescent="0.3">
      <c r="A8" s="259">
        <v>5</v>
      </c>
      <c r="B8" s="239" t="s">
        <v>373</v>
      </c>
      <c r="C8" s="213" t="s">
        <v>253</v>
      </c>
      <c r="D8" s="244">
        <v>1</v>
      </c>
      <c r="E8" s="177">
        <f t="shared" ref="E8:E24" si="1">D8*12</f>
        <v>12</v>
      </c>
      <c r="F8" s="253"/>
      <c r="G8" s="182">
        <f t="shared" si="0"/>
        <v>0</v>
      </c>
      <c r="H8" s="183" t="e">
        <f>G8/'Comp. Hom-Mês-Serv. DIÁRIA'!$E$14</f>
        <v>#DIV/0!</v>
      </c>
    </row>
    <row r="9" spans="1:8" s="95" customFormat="1" ht="64.5" customHeight="1" thickBot="1" x14ac:dyDescent="0.3">
      <c r="A9" s="174">
        <v>6</v>
      </c>
      <c r="B9" s="178" t="s">
        <v>374</v>
      </c>
      <c r="C9" s="213" t="s">
        <v>125</v>
      </c>
      <c r="D9" s="244">
        <v>38</v>
      </c>
      <c r="E9" s="177">
        <f t="shared" si="1"/>
        <v>456</v>
      </c>
      <c r="F9" s="253"/>
      <c r="G9" s="182">
        <f t="shared" si="0"/>
        <v>0</v>
      </c>
      <c r="H9" s="183" t="e">
        <f>G9/'Comp. Hom-Mês-Serv. DIÁRIA'!$E$14</f>
        <v>#DIV/0!</v>
      </c>
    </row>
    <row r="10" spans="1:8" s="95" customFormat="1" ht="141" thickBot="1" x14ac:dyDescent="0.3">
      <c r="A10" s="352">
        <v>7</v>
      </c>
      <c r="B10" s="239" t="s">
        <v>375</v>
      </c>
      <c r="C10" s="358" t="s">
        <v>367</v>
      </c>
      <c r="D10" s="358">
        <v>5</v>
      </c>
      <c r="E10" s="246">
        <f t="shared" si="1"/>
        <v>60</v>
      </c>
      <c r="F10" s="253"/>
      <c r="G10" s="182">
        <f t="shared" si="0"/>
        <v>0</v>
      </c>
      <c r="H10" s="183" t="e">
        <f>G10/'Comp. Hom-Mês-Serv. DIÁRIA'!$E$14</f>
        <v>#DIV/0!</v>
      </c>
    </row>
    <row r="11" spans="1:8" s="95" customFormat="1" ht="128.25" thickBot="1" x14ac:dyDescent="0.3">
      <c r="A11" s="353"/>
      <c r="B11" s="239" t="s">
        <v>376</v>
      </c>
      <c r="C11" s="358" t="s">
        <v>367</v>
      </c>
      <c r="D11" s="358">
        <v>6</v>
      </c>
      <c r="E11" s="246">
        <f t="shared" si="1"/>
        <v>72</v>
      </c>
      <c r="F11" s="253"/>
      <c r="G11" s="182">
        <f t="shared" si="0"/>
        <v>0</v>
      </c>
      <c r="H11" s="183" t="e">
        <f>G11/'Comp. Hom-Mês-Serv. DIÁRIA'!$E$14</f>
        <v>#DIV/0!</v>
      </c>
    </row>
    <row r="12" spans="1:8" s="95" customFormat="1" ht="128.25" thickBot="1" x14ac:dyDescent="0.3">
      <c r="A12" s="354"/>
      <c r="B12" s="239" t="s">
        <v>400</v>
      </c>
      <c r="C12" s="358" t="s">
        <v>367</v>
      </c>
      <c r="D12" s="358">
        <v>12</v>
      </c>
      <c r="E12" s="246">
        <f t="shared" si="1"/>
        <v>144</v>
      </c>
      <c r="F12" s="253"/>
      <c r="G12" s="182">
        <f t="shared" si="0"/>
        <v>0</v>
      </c>
      <c r="H12" s="183" t="e">
        <f>G12/'Comp. Hom-Mês-Serv. DIÁRIA'!$E$14</f>
        <v>#DIV/0!</v>
      </c>
    </row>
    <row r="13" spans="1:8" s="95" customFormat="1" ht="51.75" thickBot="1" x14ac:dyDescent="0.3">
      <c r="A13" s="259">
        <v>8</v>
      </c>
      <c r="B13" s="178" t="s">
        <v>267</v>
      </c>
      <c r="C13" s="213" t="s">
        <v>125</v>
      </c>
      <c r="D13" s="244">
        <v>9</v>
      </c>
      <c r="E13" s="177">
        <f t="shared" si="1"/>
        <v>108</v>
      </c>
      <c r="F13" s="253"/>
      <c r="G13" s="182">
        <f t="shared" si="0"/>
        <v>0</v>
      </c>
      <c r="H13" s="183" t="e">
        <f>G13/'Comp. Hom-Mês-Serv. DIÁRIA'!$E$14</f>
        <v>#DIV/0!</v>
      </c>
    </row>
    <row r="14" spans="1:8" s="95" customFormat="1" ht="51.75" thickBot="1" x14ac:dyDescent="0.3">
      <c r="A14" s="174">
        <v>9</v>
      </c>
      <c r="B14" s="178" t="s">
        <v>268</v>
      </c>
      <c r="C14" s="213" t="s">
        <v>125</v>
      </c>
      <c r="D14" s="244">
        <v>1</v>
      </c>
      <c r="E14" s="177">
        <f t="shared" si="1"/>
        <v>12</v>
      </c>
      <c r="F14" s="253"/>
      <c r="G14" s="182">
        <f t="shared" si="0"/>
        <v>0</v>
      </c>
      <c r="H14" s="185" t="e">
        <f>G14/'Comp. Hom-Mês-Serv. DIÁRIA'!$E$14</f>
        <v>#DIV/0!</v>
      </c>
    </row>
    <row r="15" spans="1:8" s="95" customFormat="1" ht="39" thickBot="1" x14ac:dyDescent="0.3">
      <c r="A15" s="174">
        <v>10</v>
      </c>
      <c r="B15" s="178" t="s">
        <v>269</v>
      </c>
      <c r="C15" s="213" t="s">
        <v>126</v>
      </c>
      <c r="D15" s="244">
        <v>60</v>
      </c>
      <c r="E15" s="177">
        <f t="shared" si="1"/>
        <v>720</v>
      </c>
      <c r="F15" s="253"/>
      <c r="G15" s="182">
        <f t="shared" si="0"/>
        <v>0</v>
      </c>
      <c r="H15" s="183" t="e">
        <f>G15/'Comp. Hom-Mês-Serv. DIÁRIA'!$E$14</f>
        <v>#DIV/0!</v>
      </c>
    </row>
    <row r="16" spans="1:8" s="95" customFormat="1" ht="115.5" thickBot="1" x14ac:dyDescent="0.3">
      <c r="A16" s="359">
        <v>11</v>
      </c>
      <c r="B16" s="239" t="s">
        <v>369</v>
      </c>
      <c r="C16" s="244" t="s">
        <v>367</v>
      </c>
      <c r="D16" s="244">
        <v>7</v>
      </c>
      <c r="E16" s="246">
        <f t="shared" si="1"/>
        <v>84</v>
      </c>
      <c r="F16" s="253"/>
      <c r="G16" s="182">
        <f t="shared" si="0"/>
        <v>0</v>
      </c>
      <c r="H16" s="183" t="e">
        <f>G16/'Comp. Hom-Mês-Serv. DIÁRIA'!$E$14</f>
        <v>#DIV/0!</v>
      </c>
    </row>
    <row r="17" spans="1:8" s="95" customFormat="1" ht="115.5" thickBot="1" x14ac:dyDescent="0.3">
      <c r="A17" s="360"/>
      <c r="B17" s="239" t="s">
        <v>368</v>
      </c>
      <c r="C17" s="244" t="s">
        <v>367</v>
      </c>
      <c r="D17" s="244">
        <v>8</v>
      </c>
      <c r="E17" s="246">
        <f t="shared" si="1"/>
        <v>96</v>
      </c>
      <c r="F17" s="253"/>
      <c r="G17" s="182">
        <f t="shared" si="0"/>
        <v>0</v>
      </c>
      <c r="H17" s="183" t="e">
        <f>G17/'Comp. Hom-Mês-Serv. DIÁRIA'!$E$14</f>
        <v>#DIV/0!</v>
      </c>
    </row>
    <row r="18" spans="1:8" s="95" customFormat="1" ht="64.5" customHeight="1" thickBot="1" x14ac:dyDescent="0.3">
      <c r="A18" s="174">
        <v>12</v>
      </c>
      <c r="B18" s="178" t="s">
        <v>270</v>
      </c>
      <c r="C18" s="213" t="s">
        <v>126</v>
      </c>
      <c r="D18" s="244">
        <v>25</v>
      </c>
      <c r="E18" s="177">
        <f t="shared" si="1"/>
        <v>300</v>
      </c>
      <c r="F18" s="253"/>
      <c r="G18" s="182">
        <f t="shared" si="0"/>
        <v>0</v>
      </c>
      <c r="H18" s="185" t="e">
        <f>G18/'Comp. Hom-Mês-Serv. DIÁRIA'!$E$14</f>
        <v>#DIV/0!</v>
      </c>
    </row>
    <row r="19" spans="1:8" s="95" customFormat="1" ht="64.5" customHeight="1" thickBot="1" x14ac:dyDescent="0.3">
      <c r="A19" s="259">
        <v>13</v>
      </c>
      <c r="B19" s="178" t="s">
        <v>271</v>
      </c>
      <c r="C19" s="213" t="s">
        <v>275</v>
      </c>
      <c r="D19" s="244">
        <v>1</v>
      </c>
      <c r="E19" s="177">
        <f t="shared" si="1"/>
        <v>12</v>
      </c>
      <c r="F19" s="253"/>
      <c r="G19" s="182">
        <f t="shared" si="0"/>
        <v>0</v>
      </c>
      <c r="H19" s="183" t="e">
        <f>G19/'Comp. Hom-Mês-Serv. DIÁRIA'!$E$14</f>
        <v>#DIV/0!</v>
      </c>
    </row>
    <row r="20" spans="1:8" s="95" customFormat="1" ht="64.5" customHeight="1" thickBot="1" x14ac:dyDescent="0.3">
      <c r="A20" s="174">
        <v>14</v>
      </c>
      <c r="B20" s="243" t="s">
        <v>272</v>
      </c>
      <c r="C20" s="213" t="s">
        <v>276</v>
      </c>
      <c r="D20" s="244">
        <v>1</v>
      </c>
      <c r="E20" s="177">
        <f t="shared" si="1"/>
        <v>12</v>
      </c>
      <c r="F20" s="253"/>
      <c r="G20" s="182">
        <f t="shared" si="0"/>
        <v>0</v>
      </c>
      <c r="H20" s="183" t="e">
        <f>G20/'Comp. Hom-Mês-Serv. DIÁRIA'!$E$14</f>
        <v>#DIV/0!</v>
      </c>
    </row>
    <row r="21" spans="1:8" s="95" customFormat="1" ht="64.5" customHeight="1" thickBot="1" x14ac:dyDescent="0.3">
      <c r="A21" s="259">
        <v>15</v>
      </c>
      <c r="B21" s="178" t="s">
        <v>399</v>
      </c>
      <c r="C21" s="213" t="s">
        <v>129</v>
      </c>
      <c r="D21" s="244">
        <v>6</v>
      </c>
      <c r="E21" s="177">
        <f t="shared" si="1"/>
        <v>72</v>
      </c>
      <c r="F21" s="253"/>
      <c r="G21" s="182">
        <f t="shared" si="0"/>
        <v>0</v>
      </c>
      <c r="H21" s="183" t="e">
        <f>G21/'Comp. Hom-Mês-Serv. DIÁRIA'!$E$14</f>
        <v>#DIV/0!</v>
      </c>
    </row>
    <row r="22" spans="1:8" s="95" customFormat="1" ht="64.5" customHeight="1" thickBot="1" x14ac:dyDescent="0.3">
      <c r="A22" s="174">
        <v>16</v>
      </c>
      <c r="B22" s="178" t="s">
        <v>398</v>
      </c>
      <c r="C22" s="213" t="s">
        <v>129</v>
      </c>
      <c r="D22" s="244">
        <v>10</v>
      </c>
      <c r="E22" s="177">
        <f t="shared" si="1"/>
        <v>120</v>
      </c>
      <c r="F22" s="253"/>
      <c r="G22" s="182">
        <f t="shared" si="0"/>
        <v>0</v>
      </c>
      <c r="H22" s="183" t="e">
        <f>G22/'Comp. Hom-Mês-Serv. DIÁRIA'!$E$14</f>
        <v>#DIV/0!</v>
      </c>
    </row>
    <row r="23" spans="1:8" s="95" customFormat="1" ht="64.5" customHeight="1" thickBot="1" x14ac:dyDescent="0.3">
      <c r="A23" s="259">
        <v>17</v>
      </c>
      <c r="B23" s="179" t="s">
        <v>397</v>
      </c>
      <c r="C23" s="213" t="s">
        <v>129</v>
      </c>
      <c r="D23" s="244">
        <v>36</v>
      </c>
      <c r="E23" s="177">
        <f t="shared" si="1"/>
        <v>432</v>
      </c>
      <c r="F23" s="253"/>
      <c r="G23" s="182">
        <f t="shared" si="0"/>
        <v>0</v>
      </c>
      <c r="H23" s="183" t="e">
        <f>G23/'Comp. Hom-Mês-Serv. DIÁRIA'!$E$14</f>
        <v>#DIV/0!</v>
      </c>
    </row>
    <row r="24" spans="1:8" s="95" customFormat="1" ht="64.5" customHeight="1" thickBot="1" x14ac:dyDescent="0.3">
      <c r="A24" s="174">
        <v>18</v>
      </c>
      <c r="B24" s="240" t="s">
        <v>396</v>
      </c>
      <c r="C24" s="213" t="s">
        <v>277</v>
      </c>
      <c r="D24" s="244">
        <v>1</v>
      </c>
      <c r="E24" s="177">
        <f t="shared" si="1"/>
        <v>12</v>
      </c>
      <c r="F24" s="253"/>
      <c r="G24" s="182">
        <f t="shared" si="0"/>
        <v>0</v>
      </c>
      <c r="H24" s="183" t="e">
        <f>G24/'Comp. Hom-Mês-Serv. DIÁRIA'!$E$14</f>
        <v>#DIV/0!</v>
      </c>
    </row>
    <row r="25" spans="1:8" s="95" customFormat="1" ht="64.5" customHeight="1" thickBot="1" x14ac:dyDescent="0.3">
      <c r="A25" s="259">
        <v>19</v>
      </c>
      <c r="B25" s="239" t="s">
        <v>395</v>
      </c>
      <c r="C25" s="213" t="s">
        <v>277</v>
      </c>
      <c r="D25" s="244">
        <v>5</v>
      </c>
      <c r="E25" s="177">
        <v>2</v>
      </c>
      <c r="F25" s="253"/>
      <c r="G25" s="182">
        <f t="shared" si="0"/>
        <v>0</v>
      </c>
      <c r="H25" s="183" t="e">
        <f>G25/'Comp. Hom-Mês-Serv. DIÁRIA'!$E$14</f>
        <v>#DIV/0!</v>
      </c>
    </row>
    <row r="26" spans="1:8" s="95" customFormat="1" ht="64.5" customHeight="1" thickBot="1" x14ac:dyDescent="0.3">
      <c r="A26" s="174">
        <v>20</v>
      </c>
      <c r="B26" s="178" t="s">
        <v>394</v>
      </c>
      <c r="C26" s="213" t="s">
        <v>126</v>
      </c>
      <c r="D26" s="244">
        <v>51</v>
      </c>
      <c r="E26" s="177">
        <v>12</v>
      </c>
      <c r="F26" s="253"/>
      <c r="G26" s="182">
        <f t="shared" si="0"/>
        <v>0</v>
      </c>
      <c r="H26" s="183" t="e">
        <f>G26/'Comp. Hom-Mês-Serv. DIÁRIA'!$E$14</f>
        <v>#DIV/0!</v>
      </c>
    </row>
    <row r="27" spans="1:8" s="95" customFormat="1" ht="64.5" customHeight="1" thickBot="1" x14ac:dyDescent="0.3">
      <c r="A27" s="259">
        <v>21</v>
      </c>
      <c r="B27" s="242" t="s">
        <v>273</v>
      </c>
      <c r="C27" s="213" t="s">
        <v>126</v>
      </c>
      <c r="D27" s="244">
        <v>6</v>
      </c>
      <c r="E27" s="177">
        <f>D27*12</f>
        <v>72</v>
      </c>
      <c r="F27" s="254"/>
      <c r="G27" s="182">
        <f t="shared" si="0"/>
        <v>0</v>
      </c>
      <c r="H27" s="186" t="e">
        <f>G27/'Comp. Hom-Mês-Serv. DIÁRIA'!$E$14</f>
        <v>#DIV/0!</v>
      </c>
    </row>
    <row r="28" spans="1:8" s="95" customFormat="1" ht="64.5" customHeight="1" thickBot="1" x14ac:dyDescent="0.3">
      <c r="A28" s="174">
        <v>22</v>
      </c>
      <c r="B28" s="178" t="s">
        <v>393</v>
      </c>
      <c r="C28" s="213" t="s">
        <v>130</v>
      </c>
      <c r="D28" s="244">
        <v>16</v>
      </c>
      <c r="E28" s="177">
        <f>D28*12</f>
        <v>192</v>
      </c>
      <c r="F28" s="253"/>
      <c r="G28" s="182">
        <f t="shared" si="0"/>
        <v>0</v>
      </c>
      <c r="H28" s="183" t="e">
        <f>G28/'Comp. Hom-Mês-Serv. DIÁRIA'!$E$14</f>
        <v>#DIV/0!</v>
      </c>
    </row>
    <row r="29" spans="1:8" s="95" customFormat="1" ht="64.5" customHeight="1" thickBot="1" x14ac:dyDescent="0.3">
      <c r="A29" s="259">
        <v>23</v>
      </c>
      <c r="B29" s="239" t="s">
        <v>392</v>
      </c>
      <c r="C29" s="244" t="s">
        <v>377</v>
      </c>
      <c r="D29" s="244">
        <v>1</v>
      </c>
      <c r="E29" s="246">
        <f>D29*12</f>
        <v>12</v>
      </c>
      <c r="F29" s="253"/>
      <c r="G29" s="182">
        <f t="shared" si="0"/>
        <v>0</v>
      </c>
      <c r="H29" s="183" t="e">
        <f>G29/'Comp. Hom-Mês-Serv. DIÁRIA'!$E$14</f>
        <v>#DIV/0!</v>
      </c>
    </row>
    <row r="30" spans="1:8" s="95" customFormat="1" ht="64.5" customHeight="1" thickBot="1" x14ac:dyDescent="0.3">
      <c r="A30" s="174">
        <v>24</v>
      </c>
      <c r="B30" s="178" t="s">
        <v>391</v>
      </c>
      <c r="C30" s="213" t="s">
        <v>128</v>
      </c>
      <c r="D30" s="244">
        <v>18</v>
      </c>
      <c r="E30" s="177">
        <f t="shared" ref="E30:E42" si="2">D30*12</f>
        <v>216</v>
      </c>
      <c r="F30" s="253"/>
      <c r="G30" s="182">
        <f t="shared" si="0"/>
        <v>0</v>
      </c>
      <c r="H30" s="185" t="e">
        <f>G30/'Comp. Hom-Mês-Serv. DIÁRIA'!$E$14</f>
        <v>#DIV/0!</v>
      </c>
    </row>
    <row r="31" spans="1:8" s="95" customFormat="1" ht="64.5" customHeight="1" thickBot="1" x14ac:dyDescent="0.3">
      <c r="A31" s="259">
        <v>25</v>
      </c>
      <c r="B31" s="178" t="s">
        <v>390</v>
      </c>
      <c r="C31" s="213" t="s">
        <v>131</v>
      </c>
      <c r="D31" s="244">
        <v>160</v>
      </c>
      <c r="E31" s="177">
        <f t="shared" si="2"/>
        <v>1920</v>
      </c>
      <c r="F31" s="253"/>
      <c r="G31" s="182">
        <f t="shared" si="0"/>
        <v>0</v>
      </c>
      <c r="H31" s="183" t="e">
        <f>G31/'Comp. Hom-Mês-Serv. DIÁRIA'!$E$14</f>
        <v>#DIV/0!</v>
      </c>
    </row>
    <row r="32" spans="1:8" s="95" customFormat="1" ht="64.5" customHeight="1" thickBot="1" x14ac:dyDescent="0.3">
      <c r="A32" s="174">
        <v>26</v>
      </c>
      <c r="B32" s="178" t="s">
        <v>380</v>
      </c>
      <c r="C32" s="213" t="s">
        <v>126</v>
      </c>
      <c r="D32" s="244">
        <v>40</v>
      </c>
      <c r="E32" s="177">
        <f t="shared" si="2"/>
        <v>480</v>
      </c>
      <c r="F32" s="253"/>
      <c r="G32" s="182">
        <f t="shared" si="0"/>
        <v>0</v>
      </c>
      <c r="H32" s="183" t="e">
        <f>G32/'Comp. Hom-Mês-Serv. DIÁRIA'!$E$14</f>
        <v>#DIV/0!</v>
      </c>
    </row>
    <row r="33" spans="1:8" s="95" customFormat="1" ht="64.5" customHeight="1" thickBot="1" x14ac:dyDescent="0.3">
      <c r="A33" s="259">
        <v>27</v>
      </c>
      <c r="B33" s="178" t="s">
        <v>379</v>
      </c>
      <c r="C33" s="213" t="s">
        <v>254</v>
      </c>
      <c r="D33" s="244">
        <v>1</v>
      </c>
      <c r="E33" s="177">
        <f t="shared" si="2"/>
        <v>12</v>
      </c>
      <c r="F33" s="253"/>
      <c r="G33" s="182">
        <f t="shared" si="0"/>
        <v>0</v>
      </c>
      <c r="H33" s="183" t="e">
        <f>G33/'Comp. Hom-Mês-Serv. DIÁRIA'!$E$14</f>
        <v>#DIV/0!</v>
      </c>
    </row>
    <row r="34" spans="1:8" s="95" customFormat="1" ht="64.5" customHeight="1" thickBot="1" x14ac:dyDescent="0.3">
      <c r="A34" s="174">
        <v>28</v>
      </c>
      <c r="B34" s="178" t="s">
        <v>378</v>
      </c>
      <c r="C34" s="213" t="s">
        <v>125</v>
      </c>
      <c r="D34" s="244">
        <v>18</v>
      </c>
      <c r="E34" s="177">
        <f t="shared" si="2"/>
        <v>216</v>
      </c>
      <c r="F34" s="253"/>
      <c r="G34" s="182">
        <f t="shared" si="0"/>
        <v>0</v>
      </c>
      <c r="H34" s="183" t="e">
        <f>G34/'Comp. Hom-Mês-Serv. DIÁRIA'!$E$14</f>
        <v>#DIV/0!</v>
      </c>
    </row>
    <row r="35" spans="1:8" s="95" customFormat="1" ht="64.5" customHeight="1" thickBot="1" x14ac:dyDescent="0.3">
      <c r="A35" s="259">
        <v>29</v>
      </c>
      <c r="B35" s="178" t="s">
        <v>381</v>
      </c>
      <c r="C35" s="213" t="s">
        <v>132</v>
      </c>
      <c r="D35" s="244">
        <v>36</v>
      </c>
      <c r="E35" s="177">
        <f t="shared" si="2"/>
        <v>432</v>
      </c>
      <c r="F35" s="253"/>
      <c r="G35" s="182">
        <f t="shared" si="0"/>
        <v>0</v>
      </c>
      <c r="H35" s="183" t="e">
        <f>G35/'Comp. Hom-Mês-Serv. DIÁRIA'!$E$14</f>
        <v>#DIV/0!</v>
      </c>
    </row>
    <row r="36" spans="1:8" s="95" customFormat="1" ht="64.5" customHeight="1" thickBot="1" x14ac:dyDescent="0.3">
      <c r="A36" s="174">
        <v>30</v>
      </c>
      <c r="B36" s="178" t="s">
        <v>382</v>
      </c>
      <c r="C36" s="213" t="s">
        <v>133</v>
      </c>
      <c r="D36" s="244">
        <v>8</v>
      </c>
      <c r="E36" s="177">
        <f t="shared" si="2"/>
        <v>96</v>
      </c>
      <c r="F36" s="253"/>
      <c r="G36" s="182">
        <f t="shared" ref="G36:G42" si="3">E36*F36</f>
        <v>0</v>
      </c>
      <c r="H36" s="183" t="e">
        <f>G36/'Comp. Hom-Mês-Serv. DIÁRIA'!$E$14</f>
        <v>#DIV/0!</v>
      </c>
    </row>
    <row r="37" spans="1:8" s="95" customFormat="1" ht="64.5" customHeight="1" thickBot="1" x14ac:dyDescent="0.3">
      <c r="A37" s="259">
        <v>31</v>
      </c>
      <c r="B37" s="178" t="s">
        <v>383</v>
      </c>
      <c r="C37" s="213" t="s">
        <v>133</v>
      </c>
      <c r="D37" s="244">
        <v>7</v>
      </c>
      <c r="E37" s="177">
        <f t="shared" si="2"/>
        <v>84</v>
      </c>
      <c r="F37" s="253"/>
      <c r="G37" s="182">
        <f t="shared" si="3"/>
        <v>0</v>
      </c>
      <c r="H37" s="183" t="e">
        <f>G37/'Comp. Hom-Mês-Serv. DIÁRIA'!$E$14</f>
        <v>#DIV/0!</v>
      </c>
    </row>
    <row r="38" spans="1:8" s="95" customFormat="1" ht="64.5" customHeight="1" thickBot="1" x14ac:dyDescent="0.3">
      <c r="A38" s="174">
        <v>32</v>
      </c>
      <c r="B38" s="178" t="s">
        <v>384</v>
      </c>
      <c r="C38" s="213" t="s">
        <v>133</v>
      </c>
      <c r="D38" s="244">
        <v>7</v>
      </c>
      <c r="E38" s="177">
        <f t="shared" si="2"/>
        <v>84</v>
      </c>
      <c r="F38" s="253"/>
      <c r="G38" s="182">
        <f t="shared" si="3"/>
        <v>0</v>
      </c>
      <c r="H38" s="183" t="e">
        <f>G38/'Comp. Hom-Mês-Serv. DIÁRIA'!$E$14</f>
        <v>#DIV/0!</v>
      </c>
    </row>
    <row r="39" spans="1:8" s="95" customFormat="1" ht="64.5" customHeight="1" thickBot="1" x14ac:dyDescent="0.3">
      <c r="A39" s="259">
        <v>33</v>
      </c>
      <c r="B39" s="178" t="s">
        <v>385</v>
      </c>
      <c r="C39" s="213" t="s">
        <v>133</v>
      </c>
      <c r="D39" s="244">
        <v>6</v>
      </c>
      <c r="E39" s="177">
        <f t="shared" si="2"/>
        <v>72</v>
      </c>
      <c r="F39" s="253"/>
      <c r="G39" s="182">
        <f t="shared" si="3"/>
        <v>0</v>
      </c>
      <c r="H39" s="183" t="e">
        <f>G39/'Comp. Hom-Mês-Serv. DIÁRIA'!$E$14</f>
        <v>#DIV/0!</v>
      </c>
    </row>
    <row r="40" spans="1:8" s="95" customFormat="1" ht="64.5" customHeight="1" thickBot="1" x14ac:dyDescent="0.3">
      <c r="A40" s="174">
        <v>34</v>
      </c>
      <c r="B40" s="178" t="s">
        <v>386</v>
      </c>
      <c r="C40" s="213" t="s">
        <v>133</v>
      </c>
      <c r="D40" s="244">
        <v>6</v>
      </c>
      <c r="E40" s="177">
        <f t="shared" si="2"/>
        <v>72</v>
      </c>
      <c r="F40" s="253"/>
      <c r="G40" s="182">
        <f t="shared" si="3"/>
        <v>0</v>
      </c>
      <c r="H40" s="183" t="e">
        <f>G40/'Comp. Hom-Mês-Serv. DIÁRIA'!$E$14</f>
        <v>#DIV/0!</v>
      </c>
    </row>
    <row r="41" spans="1:8" s="95" customFormat="1" ht="64.5" customHeight="1" thickBot="1" x14ac:dyDescent="0.3">
      <c r="A41" s="259">
        <v>35</v>
      </c>
      <c r="B41" s="178" t="s">
        <v>387</v>
      </c>
      <c r="C41" s="213" t="s">
        <v>133</v>
      </c>
      <c r="D41" s="244">
        <v>7</v>
      </c>
      <c r="E41" s="177">
        <f t="shared" si="2"/>
        <v>84</v>
      </c>
      <c r="F41" s="253"/>
      <c r="G41" s="182">
        <f t="shared" si="3"/>
        <v>0</v>
      </c>
      <c r="H41" s="183" t="e">
        <f>G41/'Comp. Hom-Mês-Serv. DIÁRIA'!$E$14</f>
        <v>#DIV/0!</v>
      </c>
    </row>
    <row r="42" spans="1:8" s="95" customFormat="1" ht="64.5" customHeight="1" thickBot="1" x14ac:dyDescent="0.3">
      <c r="A42" s="174">
        <v>36</v>
      </c>
      <c r="B42" s="178" t="s">
        <v>388</v>
      </c>
      <c r="C42" s="213" t="s">
        <v>126</v>
      </c>
      <c r="D42" s="244">
        <v>30</v>
      </c>
      <c r="E42" s="177">
        <f t="shared" si="2"/>
        <v>360</v>
      </c>
      <c r="F42" s="253"/>
      <c r="G42" s="182">
        <f t="shared" si="3"/>
        <v>0</v>
      </c>
      <c r="H42" s="183" t="e">
        <f>G42/'Comp. Hom-Mês-Serv. DIÁRIA'!$E$14</f>
        <v>#DIV/0!</v>
      </c>
    </row>
    <row r="43" spans="1:8" s="96" customFormat="1" ht="49.5" customHeight="1" thickBot="1" x14ac:dyDescent="0.25">
      <c r="A43" s="180"/>
      <c r="B43" s="355"/>
      <c r="C43" s="355"/>
      <c r="D43" s="355"/>
      <c r="E43" s="356"/>
      <c r="F43" s="184" t="s">
        <v>113</v>
      </c>
      <c r="G43" s="187">
        <f>SUM(G4:G42)-G10-G11-G16</f>
        <v>0</v>
      </c>
      <c r="H43" s="187" t="e">
        <f>SUM(H4:H42)-H10-H11-H16</f>
        <v>#DIV/0!</v>
      </c>
    </row>
    <row r="44" spans="1:8" x14ac:dyDescent="0.25">
      <c r="H44" s="93"/>
    </row>
    <row r="45" spans="1:8" x14ac:dyDescent="0.25">
      <c r="H45" s="93"/>
    </row>
  </sheetData>
  <autoFilter ref="B3:H43" xr:uid="{00000000-0009-0000-0000-000006000000}"/>
  <mergeCells count="5">
    <mergeCell ref="A1:H1"/>
    <mergeCell ref="A2:H2"/>
    <mergeCell ref="A10:A12"/>
    <mergeCell ref="A16:A17"/>
    <mergeCell ref="B43:E43"/>
  </mergeCells>
  <printOptions horizontalCentered="1" verticalCentered="1"/>
  <pageMargins left="0.23622047244094491" right="0.23622047244094491" top="0.74803149606299213" bottom="0.74803149606299213" header="0.31496062992125984" footer="0.31496062992125984"/>
  <pageSetup paperSize="9" scale="6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I38"/>
  <sheetViews>
    <sheetView showGridLines="0" tabSelected="1" view="pageBreakPreview" zoomScaleNormal="90" zoomScaleSheetLayoutView="100" workbookViewId="0">
      <selection activeCell="A38" sqref="A38:XFD39"/>
    </sheetView>
  </sheetViews>
  <sheetFormatPr defaultColWidth="60.85546875" defaultRowHeight="15" x14ac:dyDescent="0.25"/>
  <cols>
    <col min="1" max="1" width="5.42578125" bestFit="1" customWidth="1"/>
    <col min="3" max="3" width="13.140625" bestFit="1" customWidth="1"/>
    <col min="4" max="4" width="13.140625" style="171" customWidth="1"/>
    <col min="5" max="5" width="14.85546875" customWidth="1"/>
    <col min="6" max="6" width="18.7109375" customWidth="1"/>
    <col min="7" max="7" width="14.85546875" customWidth="1"/>
    <col min="8" max="8" width="2.42578125" customWidth="1"/>
    <col min="9" max="9" width="10.140625" bestFit="1" customWidth="1"/>
    <col min="10" max="10" width="6.7109375" customWidth="1"/>
  </cols>
  <sheetData>
    <row r="1" spans="1:9" x14ac:dyDescent="0.25">
      <c r="A1" s="306" t="s">
        <v>262</v>
      </c>
      <c r="B1" s="306"/>
      <c r="C1" s="306"/>
      <c r="D1" s="306"/>
      <c r="E1" s="306"/>
      <c r="F1" s="306"/>
      <c r="G1" s="306"/>
      <c r="H1" s="100"/>
      <c r="I1" s="100"/>
    </row>
    <row r="2" spans="1:9" x14ac:dyDescent="0.25">
      <c r="A2" s="351" t="s">
        <v>146</v>
      </c>
      <c r="B2" s="351"/>
      <c r="C2" s="351"/>
      <c r="D2" s="351"/>
      <c r="E2" s="351"/>
      <c r="F2" s="351"/>
      <c r="G2" s="351"/>
      <c r="H2" s="100"/>
      <c r="I2" s="100"/>
    </row>
    <row r="3" spans="1:9" s="99" customFormat="1" ht="51.75" thickBot="1" x14ac:dyDescent="0.25">
      <c r="A3" s="214" t="s">
        <v>122</v>
      </c>
      <c r="B3" s="214" t="s">
        <v>147</v>
      </c>
      <c r="C3" s="214" t="s">
        <v>307</v>
      </c>
      <c r="D3" s="214" t="s">
        <v>308</v>
      </c>
      <c r="E3" s="24" t="s">
        <v>135</v>
      </c>
      <c r="F3" s="24" t="s">
        <v>278</v>
      </c>
      <c r="G3" s="24" t="s">
        <v>136</v>
      </c>
      <c r="H3" s="100"/>
      <c r="I3" s="24" t="s">
        <v>365</v>
      </c>
    </row>
    <row r="4" spans="1:9" s="100" customFormat="1" ht="39" thickBot="1" x14ac:dyDescent="0.25">
      <c r="A4" s="247">
        <v>1</v>
      </c>
      <c r="B4" s="248" t="s">
        <v>279</v>
      </c>
      <c r="C4" s="249">
        <v>1</v>
      </c>
      <c r="D4" s="250">
        <v>0</v>
      </c>
      <c r="E4" s="255"/>
      <c r="F4" s="215">
        <f>E4*(C4+D4)/I4</f>
        <v>0</v>
      </c>
      <c r="G4" s="101" t="e">
        <f>F4/'Comp. Hom-Mês-Serv. DIÁRIA'!$E$14</f>
        <v>#DIV/0!</v>
      </c>
      <c r="H4" s="118"/>
      <c r="I4" s="251">
        <v>5</v>
      </c>
    </row>
    <row r="5" spans="1:9" s="100" customFormat="1" ht="26.25" thickBot="1" x14ac:dyDescent="0.25">
      <c r="A5" s="259">
        <v>2</v>
      </c>
      <c r="B5" s="252" t="s">
        <v>280</v>
      </c>
      <c r="C5" s="249">
        <v>30</v>
      </c>
      <c r="D5" s="250">
        <v>0</v>
      </c>
      <c r="E5" s="256"/>
      <c r="F5" s="215">
        <f t="shared" ref="F5:F37" si="0">E5*(C5+D5)/I5</f>
        <v>0</v>
      </c>
      <c r="G5" s="101" t="e">
        <f>F5/'Comp. Hom-Mês-Serv. DIÁRIA'!$E$14</f>
        <v>#DIV/0!</v>
      </c>
      <c r="I5" s="251">
        <v>1</v>
      </c>
    </row>
    <row r="6" spans="1:9" s="100" customFormat="1" ht="90" thickBot="1" x14ac:dyDescent="0.25">
      <c r="A6" s="247">
        <v>3</v>
      </c>
      <c r="B6" s="252" t="s">
        <v>281</v>
      </c>
      <c r="C6" s="361">
        <v>6</v>
      </c>
      <c r="D6" s="250">
        <v>0</v>
      </c>
      <c r="E6" s="256"/>
      <c r="F6" s="215">
        <f t="shared" si="0"/>
        <v>0</v>
      </c>
      <c r="G6" s="101" t="e">
        <f>F6/'Comp. Hom-Mês-Serv. DIÁRIA'!$E$14</f>
        <v>#DIV/0!</v>
      </c>
      <c r="I6" s="251">
        <v>1</v>
      </c>
    </row>
    <row r="7" spans="1:9" s="100" customFormat="1" ht="26.25" thickBot="1" x14ac:dyDescent="0.25">
      <c r="A7" s="259">
        <v>4</v>
      </c>
      <c r="B7" s="252" t="s">
        <v>282</v>
      </c>
      <c r="C7" s="361">
        <v>6</v>
      </c>
      <c r="D7" s="250">
        <v>0</v>
      </c>
      <c r="E7" s="256"/>
      <c r="F7" s="215">
        <f t="shared" si="0"/>
        <v>0</v>
      </c>
      <c r="G7" s="101" t="e">
        <f>F7/'Comp. Hom-Mês-Serv. DIÁRIA'!$E$14</f>
        <v>#DIV/0!</v>
      </c>
      <c r="I7" s="251">
        <v>5</v>
      </c>
    </row>
    <row r="8" spans="1:9" s="100" customFormat="1" ht="13.5" thickBot="1" x14ac:dyDescent="0.25">
      <c r="A8" s="247">
        <v>5</v>
      </c>
      <c r="B8" s="252" t="s">
        <v>283</v>
      </c>
      <c r="C8" s="361">
        <v>6</v>
      </c>
      <c r="D8" s="250">
        <v>6</v>
      </c>
      <c r="E8" s="256"/>
      <c r="F8" s="215">
        <f t="shared" si="0"/>
        <v>0</v>
      </c>
      <c r="G8" s="101" t="e">
        <f>F8/'Comp. Hom-Mês-Serv. DIÁRIA'!$E$14</f>
        <v>#DIV/0!</v>
      </c>
      <c r="I8" s="251">
        <v>1</v>
      </c>
    </row>
    <row r="9" spans="1:9" s="100" customFormat="1" ht="13.5" thickBot="1" x14ac:dyDescent="0.25">
      <c r="A9" s="259">
        <v>6</v>
      </c>
      <c r="B9" s="252" t="s">
        <v>284</v>
      </c>
      <c r="C9" s="361">
        <v>3</v>
      </c>
      <c r="D9" s="250">
        <v>3</v>
      </c>
      <c r="E9" s="256"/>
      <c r="F9" s="215">
        <f t="shared" si="0"/>
        <v>0</v>
      </c>
      <c r="G9" s="101" t="e">
        <f>F9/'Comp. Hom-Mês-Serv. DIÁRIA'!$E$14</f>
        <v>#DIV/0!</v>
      </c>
      <c r="I9" s="251">
        <v>1</v>
      </c>
    </row>
    <row r="10" spans="1:9" s="100" customFormat="1" ht="26.25" thickBot="1" x14ac:dyDescent="0.25">
      <c r="A10" s="247">
        <v>7</v>
      </c>
      <c r="B10" s="252" t="s">
        <v>285</v>
      </c>
      <c r="C10" s="361">
        <v>6</v>
      </c>
      <c r="D10" s="250">
        <v>6</v>
      </c>
      <c r="E10" s="256"/>
      <c r="F10" s="215">
        <f t="shared" si="0"/>
        <v>0</v>
      </c>
      <c r="G10" s="101" t="e">
        <f>F10/'Comp. Hom-Mês-Serv. DIÁRIA'!$E$14</f>
        <v>#DIV/0!</v>
      </c>
      <c r="I10" s="251">
        <v>1</v>
      </c>
    </row>
    <row r="11" spans="1:9" s="100" customFormat="1" ht="39" thickBot="1" x14ac:dyDescent="0.25">
      <c r="A11" s="259">
        <v>8</v>
      </c>
      <c r="B11" s="252" t="s">
        <v>286</v>
      </c>
      <c r="C11" s="361">
        <v>10</v>
      </c>
      <c r="D11" s="250">
        <v>0</v>
      </c>
      <c r="E11" s="256"/>
      <c r="F11" s="215">
        <f t="shared" si="0"/>
        <v>0</v>
      </c>
      <c r="G11" s="101" t="e">
        <f>F11/'Comp. Hom-Mês-Serv. DIÁRIA'!$E$14</f>
        <v>#DIV/0!</v>
      </c>
      <c r="I11" s="251">
        <v>1</v>
      </c>
    </row>
    <row r="12" spans="1:9" s="100" customFormat="1" ht="64.5" thickBot="1" x14ac:dyDescent="0.25">
      <c r="A12" s="247">
        <v>9</v>
      </c>
      <c r="B12" s="252" t="s">
        <v>346</v>
      </c>
      <c r="C12" s="361">
        <v>10</v>
      </c>
      <c r="D12" s="250">
        <v>0</v>
      </c>
      <c r="E12" s="256"/>
      <c r="F12" s="215">
        <f t="shared" si="0"/>
        <v>0</v>
      </c>
      <c r="G12" s="101" t="e">
        <f>F12/'Comp. Hom-Mês-Serv. DIÁRIA'!$E$14</f>
        <v>#DIV/0!</v>
      </c>
      <c r="I12" s="251">
        <v>1</v>
      </c>
    </row>
    <row r="13" spans="1:9" s="100" customFormat="1" ht="64.5" thickBot="1" x14ac:dyDescent="0.25">
      <c r="A13" s="259">
        <v>10</v>
      </c>
      <c r="B13" s="252" t="s">
        <v>287</v>
      </c>
      <c r="C13" s="361">
        <v>10</v>
      </c>
      <c r="D13" s="250">
        <v>0</v>
      </c>
      <c r="E13" s="256"/>
      <c r="F13" s="215">
        <f t="shared" si="0"/>
        <v>0</v>
      </c>
      <c r="G13" s="101" t="e">
        <f>F13/'Comp. Hom-Mês-Serv. DIÁRIA'!$E$14</f>
        <v>#DIV/0!</v>
      </c>
      <c r="I13" s="251">
        <v>1</v>
      </c>
    </row>
    <row r="14" spans="1:9" s="100" customFormat="1" ht="39" thickBot="1" x14ac:dyDescent="0.25">
      <c r="A14" s="247">
        <v>11</v>
      </c>
      <c r="B14" s="252" t="s">
        <v>288</v>
      </c>
      <c r="C14" s="361">
        <v>10</v>
      </c>
      <c r="D14" s="250">
        <v>0</v>
      </c>
      <c r="E14" s="256"/>
      <c r="F14" s="215">
        <f t="shared" si="0"/>
        <v>0</v>
      </c>
      <c r="G14" s="101" t="e">
        <f>F14/'Comp. Hom-Mês-Serv. DIÁRIA'!$E$14</f>
        <v>#DIV/0!</v>
      </c>
      <c r="I14" s="251">
        <v>1</v>
      </c>
    </row>
    <row r="15" spans="1:9" s="100" customFormat="1" ht="26.25" thickBot="1" x14ac:dyDescent="0.25">
      <c r="A15" s="259">
        <v>12</v>
      </c>
      <c r="B15" s="252" t="s">
        <v>289</v>
      </c>
      <c r="C15" s="249">
        <v>3</v>
      </c>
      <c r="D15" s="250">
        <v>0</v>
      </c>
      <c r="E15" s="256"/>
      <c r="F15" s="215">
        <f t="shared" si="0"/>
        <v>0</v>
      </c>
      <c r="G15" s="101" t="e">
        <f>F15/'Comp. Hom-Mês-Serv. DIÁRIA'!$E$14</f>
        <v>#DIV/0!</v>
      </c>
      <c r="I15" s="251">
        <v>1</v>
      </c>
    </row>
    <row r="16" spans="1:9" s="100" customFormat="1" ht="39" thickBot="1" x14ac:dyDescent="0.25">
      <c r="A16" s="247">
        <v>13</v>
      </c>
      <c r="B16" s="252" t="s">
        <v>290</v>
      </c>
      <c r="C16" s="249">
        <v>6</v>
      </c>
      <c r="D16" s="250">
        <v>0</v>
      </c>
      <c r="E16" s="256"/>
      <c r="F16" s="215">
        <f t="shared" si="0"/>
        <v>0</v>
      </c>
      <c r="G16" s="101" t="e">
        <f>F16/'Comp. Hom-Mês-Serv. DIÁRIA'!$E$14</f>
        <v>#DIV/0!</v>
      </c>
      <c r="I16" s="251">
        <v>1</v>
      </c>
    </row>
    <row r="17" spans="1:9" s="100" customFormat="1" ht="26.25" thickBot="1" x14ac:dyDescent="0.25">
      <c r="A17" s="259">
        <v>14</v>
      </c>
      <c r="B17" s="252" t="s">
        <v>291</v>
      </c>
      <c r="C17" s="249">
        <v>6</v>
      </c>
      <c r="D17" s="250">
        <v>6</v>
      </c>
      <c r="E17" s="256"/>
      <c r="F17" s="215">
        <f t="shared" si="0"/>
        <v>0</v>
      </c>
      <c r="G17" s="101" t="e">
        <f>F17/'Comp. Hom-Mês-Serv. DIÁRIA'!$E$14</f>
        <v>#DIV/0!</v>
      </c>
      <c r="I17" s="251">
        <v>5</v>
      </c>
    </row>
    <row r="18" spans="1:9" s="100" customFormat="1" ht="13.5" thickBot="1" x14ac:dyDescent="0.25">
      <c r="A18" s="247">
        <v>15</v>
      </c>
      <c r="B18" s="252" t="s">
        <v>292</v>
      </c>
      <c r="C18" s="249">
        <v>3</v>
      </c>
      <c r="D18" s="250">
        <v>3</v>
      </c>
      <c r="E18" s="256"/>
      <c r="F18" s="215">
        <f t="shared" si="0"/>
        <v>0</v>
      </c>
      <c r="G18" s="101" t="e">
        <f>F18/'Comp. Hom-Mês-Serv. DIÁRIA'!$E$14</f>
        <v>#DIV/0!</v>
      </c>
      <c r="I18" s="251">
        <v>5</v>
      </c>
    </row>
    <row r="19" spans="1:9" s="100" customFormat="1" ht="40.5" thickBot="1" x14ac:dyDescent="0.25">
      <c r="A19" s="259">
        <v>16</v>
      </c>
      <c r="B19" s="252" t="s">
        <v>412</v>
      </c>
      <c r="C19" s="249">
        <v>5</v>
      </c>
      <c r="D19" s="250">
        <v>0</v>
      </c>
      <c r="E19" s="256"/>
      <c r="F19" s="215">
        <f t="shared" si="0"/>
        <v>0</v>
      </c>
      <c r="G19" s="101" t="e">
        <f>F19/'Comp. Hom-Mês-Serv. DIÁRIA'!$E$14</f>
        <v>#DIV/0!</v>
      </c>
      <c r="I19" s="251">
        <v>1</v>
      </c>
    </row>
    <row r="20" spans="1:9" s="100" customFormat="1" ht="39" thickBot="1" x14ac:dyDescent="0.25">
      <c r="A20" s="247">
        <v>17</v>
      </c>
      <c r="B20" s="252" t="s">
        <v>293</v>
      </c>
      <c r="C20" s="249">
        <v>5</v>
      </c>
      <c r="D20" s="250">
        <v>0</v>
      </c>
      <c r="E20" s="256"/>
      <c r="F20" s="215">
        <f t="shared" si="0"/>
        <v>0</v>
      </c>
      <c r="G20" s="101" t="e">
        <f>F20/'Comp. Hom-Mês-Serv. DIÁRIA'!$E$14</f>
        <v>#DIV/0!</v>
      </c>
      <c r="I20" s="251">
        <v>1</v>
      </c>
    </row>
    <row r="21" spans="1:9" s="100" customFormat="1" ht="39" thickBot="1" x14ac:dyDescent="0.25">
      <c r="A21" s="259">
        <v>18</v>
      </c>
      <c r="B21" s="252" t="s">
        <v>294</v>
      </c>
      <c r="C21" s="249">
        <v>5</v>
      </c>
      <c r="D21" s="250">
        <v>0</v>
      </c>
      <c r="E21" s="256"/>
      <c r="F21" s="215">
        <f t="shared" si="0"/>
        <v>0</v>
      </c>
      <c r="G21" s="101" t="e">
        <f>F21/'Comp. Hom-Mês-Serv. DIÁRIA'!$E$14</f>
        <v>#DIV/0!</v>
      </c>
      <c r="I21" s="251">
        <v>2</v>
      </c>
    </row>
    <row r="22" spans="1:9" s="100" customFormat="1" ht="26.25" thickBot="1" x14ac:dyDescent="0.25">
      <c r="A22" s="247">
        <v>19</v>
      </c>
      <c r="B22" s="252" t="s">
        <v>389</v>
      </c>
      <c r="C22" s="361">
        <v>5</v>
      </c>
      <c r="D22" s="362">
        <v>5</v>
      </c>
      <c r="E22" s="256"/>
      <c r="F22" s="215">
        <f t="shared" si="0"/>
        <v>0</v>
      </c>
      <c r="G22" s="101" t="e">
        <f>F22/'Comp. Hom-Mês-Serv. DIÁRIA'!$E$14</f>
        <v>#DIV/0!</v>
      </c>
      <c r="I22" s="251">
        <v>1</v>
      </c>
    </row>
    <row r="23" spans="1:9" s="100" customFormat="1" ht="13.5" thickBot="1" x14ac:dyDescent="0.25">
      <c r="A23" s="259">
        <v>20</v>
      </c>
      <c r="B23" s="252" t="s">
        <v>295</v>
      </c>
      <c r="C23" s="249">
        <v>2</v>
      </c>
      <c r="D23" s="250">
        <v>0</v>
      </c>
      <c r="E23" s="256"/>
      <c r="F23" s="215">
        <f t="shared" si="0"/>
        <v>0</v>
      </c>
      <c r="G23" s="101" t="e">
        <f>F23/'Comp. Hom-Mês-Serv. DIÁRIA'!$E$14</f>
        <v>#DIV/0!</v>
      </c>
      <c r="I23" s="251">
        <v>1</v>
      </c>
    </row>
    <row r="24" spans="1:9" s="100" customFormat="1" ht="13.5" thickBot="1" x14ac:dyDescent="0.25">
      <c r="A24" s="247">
        <v>21</v>
      </c>
      <c r="B24" s="252" t="s">
        <v>296</v>
      </c>
      <c r="C24" s="249">
        <v>3</v>
      </c>
      <c r="D24" s="250">
        <v>0</v>
      </c>
      <c r="E24" s="256"/>
      <c r="F24" s="215">
        <f t="shared" ref="F24" si="1">E24*(C24+D24)/I24</f>
        <v>0</v>
      </c>
      <c r="G24" s="101" t="e">
        <f>F24/'Comp. Hom-Mês-Serv. DIÁRIA'!$E$14</f>
        <v>#DIV/0!</v>
      </c>
      <c r="I24" s="251">
        <v>1</v>
      </c>
    </row>
    <row r="25" spans="1:9" s="100" customFormat="1" ht="64.5" thickBot="1" x14ac:dyDescent="0.25">
      <c r="A25" s="259">
        <v>22</v>
      </c>
      <c r="B25" s="252" t="s">
        <v>297</v>
      </c>
      <c r="C25" s="249">
        <v>1</v>
      </c>
      <c r="D25" s="250">
        <v>0</v>
      </c>
      <c r="E25" s="256"/>
      <c r="F25" s="215">
        <f t="shared" si="0"/>
        <v>0</v>
      </c>
      <c r="G25" s="101" t="e">
        <f>F25/'Comp. Hom-Mês-Serv. DIÁRIA'!$E$14</f>
        <v>#DIV/0!</v>
      </c>
      <c r="I25" s="251">
        <v>5</v>
      </c>
    </row>
    <row r="26" spans="1:9" s="100" customFormat="1" ht="13.5" thickBot="1" x14ac:dyDescent="0.25">
      <c r="A26" s="247">
        <v>23</v>
      </c>
      <c r="B26" s="252" t="s">
        <v>298</v>
      </c>
      <c r="C26" s="249">
        <v>20</v>
      </c>
      <c r="D26" s="250">
        <v>20</v>
      </c>
      <c r="E26" s="256"/>
      <c r="F26" s="215">
        <f t="shared" si="0"/>
        <v>0</v>
      </c>
      <c r="G26" s="101" t="e">
        <f>F26/'Comp. Hom-Mês-Serv. DIÁRIA'!$E$14</f>
        <v>#DIV/0!</v>
      </c>
      <c r="I26" s="251">
        <v>1</v>
      </c>
    </row>
    <row r="27" spans="1:9" s="100" customFormat="1" ht="13.5" thickBot="1" x14ac:dyDescent="0.25">
      <c r="A27" s="259">
        <v>24</v>
      </c>
      <c r="B27" s="252" t="s">
        <v>299</v>
      </c>
      <c r="C27" s="249">
        <v>20</v>
      </c>
      <c r="D27" s="250">
        <v>20</v>
      </c>
      <c r="E27" s="256"/>
      <c r="F27" s="215">
        <f t="shared" si="0"/>
        <v>0</v>
      </c>
      <c r="G27" s="101" t="e">
        <f>F27/'Comp. Hom-Mês-Serv. DIÁRIA'!$E$14</f>
        <v>#DIV/0!</v>
      </c>
      <c r="I27" s="251">
        <v>5</v>
      </c>
    </row>
    <row r="28" spans="1:9" s="100" customFormat="1" ht="26.25" thickBot="1" x14ac:dyDescent="0.25">
      <c r="A28" s="247">
        <v>25</v>
      </c>
      <c r="B28" s="252" t="s">
        <v>300</v>
      </c>
      <c r="C28" s="249">
        <v>8</v>
      </c>
      <c r="D28" s="250">
        <v>8</v>
      </c>
      <c r="E28" s="256"/>
      <c r="F28" s="215">
        <f t="shared" si="0"/>
        <v>0</v>
      </c>
      <c r="G28" s="101" t="e">
        <f>F28/'Comp. Hom-Mês-Serv. DIÁRIA'!$E$14</f>
        <v>#DIV/0!</v>
      </c>
      <c r="I28" s="251">
        <v>1</v>
      </c>
    </row>
    <row r="29" spans="1:9" s="100" customFormat="1" ht="13.5" thickBot="1" x14ac:dyDescent="0.25">
      <c r="A29" s="259">
        <v>26</v>
      </c>
      <c r="B29" s="252" t="s">
        <v>301</v>
      </c>
      <c r="C29" s="249">
        <v>20</v>
      </c>
      <c r="D29" s="250">
        <v>0</v>
      </c>
      <c r="E29" s="256"/>
      <c r="F29" s="215">
        <f t="shared" si="0"/>
        <v>0</v>
      </c>
      <c r="G29" s="101" t="e">
        <f>F29/'Comp. Hom-Mês-Serv. DIÁRIA'!$E$14</f>
        <v>#DIV/0!</v>
      </c>
      <c r="I29" s="251">
        <v>1</v>
      </c>
    </row>
    <row r="30" spans="1:9" s="100" customFormat="1" ht="29.25" customHeight="1" thickBot="1" x14ac:dyDescent="0.25">
      <c r="A30" s="247">
        <v>27</v>
      </c>
      <c r="B30" s="252" t="s">
        <v>419</v>
      </c>
      <c r="C30" s="249">
        <v>20</v>
      </c>
      <c r="D30" s="250">
        <v>20</v>
      </c>
      <c r="E30" s="256"/>
      <c r="F30" s="215">
        <f t="shared" si="0"/>
        <v>0</v>
      </c>
      <c r="G30" s="101" t="e">
        <f>F30/'Comp. Hom-Mês-Serv. DIÁRIA'!$E$14</f>
        <v>#DIV/0!</v>
      </c>
      <c r="I30" s="251">
        <v>1</v>
      </c>
    </row>
    <row r="31" spans="1:9" s="100" customFormat="1" ht="13.5" thickBot="1" x14ac:dyDescent="0.25">
      <c r="A31" s="259">
        <v>28</v>
      </c>
      <c r="B31" s="252" t="s">
        <v>302</v>
      </c>
      <c r="C31" s="249">
        <v>16</v>
      </c>
      <c r="D31" s="250">
        <v>16</v>
      </c>
      <c r="E31" s="256"/>
      <c r="F31" s="215">
        <f t="shared" si="0"/>
        <v>0</v>
      </c>
      <c r="G31" s="101" t="e">
        <f>F31/'Comp. Hom-Mês-Serv. DIÁRIA'!$E$14</f>
        <v>#DIV/0!</v>
      </c>
      <c r="I31" s="251">
        <v>1</v>
      </c>
    </row>
    <row r="32" spans="1:9" s="100" customFormat="1" ht="51.75" thickBot="1" x14ac:dyDescent="0.25">
      <c r="A32" s="247">
        <v>29</v>
      </c>
      <c r="B32" s="252" t="s">
        <v>411</v>
      </c>
      <c r="C32" s="249">
        <v>16</v>
      </c>
      <c r="D32" s="250">
        <v>16</v>
      </c>
      <c r="E32" s="256"/>
      <c r="F32" s="215">
        <f t="shared" si="0"/>
        <v>0</v>
      </c>
      <c r="G32" s="101" t="e">
        <f>F32/'Comp. Hom-Mês-Serv. DIÁRIA'!$E$14</f>
        <v>#DIV/0!</v>
      </c>
      <c r="I32" s="251">
        <v>5</v>
      </c>
    </row>
    <row r="33" spans="1:9" s="100" customFormat="1" ht="51.75" thickBot="1" x14ac:dyDescent="0.25">
      <c r="A33" s="259">
        <v>30</v>
      </c>
      <c r="B33" s="252" t="s">
        <v>347</v>
      </c>
      <c r="C33" s="249">
        <v>1</v>
      </c>
      <c r="D33" s="250">
        <v>1</v>
      </c>
      <c r="E33" s="256"/>
      <c r="F33" s="215">
        <f t="shared" si="0"/>
        <v>0</v>
      </c>
      <c r="G33" s="101" t="e">
        <f>F33/'Comp. Hom-Mês-Serv. DIÁRIA'!$E$14</f>
        <v>#DIV/0!</v>
      </c>
      <c r="I33" s="251">
        <v>1</v>
      </c>
    </row>
    <row r="34" spans="1:9" s="100" customFormat="1" ht="13.5" thickBot="1" x14ac:dyDescent="0.25">
      <c r="A34" s="247">
        <v>31</v>
      </c>
      <c r="B34" s="252" t="s">
        <v>303</v>
      </c>
      <c r="C34" s="249">
        <v>6</v>
      </c>
      <c r="D34" s="250">
        <v>0</v>
      </c>
      <c r="E34" s="256"/>
      <c r="F34" s="215">
        <f t="shared" si="0"/>
        <v>0</v>
      </c>
      <c r="G34" s="101" t="e">
        <f>F34/'Comp. Hom-Mês-Serv. DIÁRIA'!$E$14</f>
        <v>#DIV/0!</v>
      </c>
      <c r="I34" s="251">
        <v>1</v>
      </c>
    </row>
    <row r="35" spans="1:9" s="100" customFormat="1" ht="13.5" thickBot="1" x14ac:dyDescent="0.25">
      <c r="A35" s="259">
        <v>32</v>
      </c>
      <c r="B35" s="252" t="s">
        <v>304</v>
      </c>
      <c r="C35" s="249">
        <v>20</v>
      </c>
      <c r="D35" s="250">
        <v>20</v>
      </c>
      <c r="E35" s="256"/>
      <c r="F35" s="215">
        <f t="shared" si="0"/>
        <v>0</v>
      </c>
      <c r="G35" s="101" t="e">
        <f>F35/'Comp. Hom-Mês-Serv. DIÁRIA'!$E$14</f>
        <v>#DIV/0!</v>
      </c>
      <c r="I35" s="251">
        <v>1</v>
      </c>
    </row>
    <row r="36" spans="1:9" s="100" customFormat="1" ht="39" thickBot="1" x14ac:dyDescent="0.25">
      <c r="A36" s="247">
        <v>33</v>
      </c>
      <c r="B36" s="248" t="s">
        <v>305</v>
      </c>
      <c r="C36" s="249">
        <v>6</v>
      </c>
      <c r="D36" s="250">
        <v>6</v>
      </c>
      <c r="E36" s="256"/>
      <c r="F36" s="215">
        <f t="shared" si="0"/>
        <v>0</v>
      </c>
      <c r="G36" s="101" t="e">
        <f>F36/'Comp. Hom-Mês-Serv. DIÁRIA'!$E$14</f>
        <v>#DIV/0!</v>
      </c>
      <c r="I36" s="251">
        <v>1</v>
      </c>
    </row>
    <row r="37" spans="1:9" s="102" customFormat="1" ht="26.25" thickBot="1" x14ac:dyDescent="0.3">
      <c r="A37" s="259">
        <v>34</v>
      </c>
      <c r="B37" s="252" t="s">
        <v>306</v>
      </c>
      <c r="C37" s="249">
        <v>7</v>
      </c>
      <c r="D37" s="250">
        <v>7</v>
      </c>
      <c r="E37" s="256"/>
      <c r="F37" s="215">
        <f t="shared" si="0"/>
        <v>0</v>
      </c>
      <c r="G37" s="101" t="e">
        <f>F37/'Comp. Hom-Mês-Serv. DIÁRIA'!$E$14</f>
        <v>#DIV/0!</v>
      </c>
      <c r="I37" s="251">
        <v>1</v>
      </c>
    </row>
    <row r="38" spans="1:9" x14ac:dyDescent="0.25">
      <c r="A38" s="100"/>
      <c r="B38" s="100"/>
      <c r="C38" s="100"/>
      <c r="D38" s="100"/>
      <c r="E38" s="172" t="s">
        <v>113</v>
      </c>
      <c r="F38" s="98">
        <f>SUM(F4:F37)</f>
        <v>0</v>
      </c>
      <c r="G38" s="98" t="e">
        <f>SUM(G4:G37)</f>
        <v>#DIV/0!</v>
      </c>
      <c r="H38" s="100"/>
      <c r="I38" s="100"/>
    </row>
  </sheetData>
  <mergeCells count="2">
    <mergeCell ref="A1:G1"/>
    <mergeCell ref="A2:G2"/>
  </mergeCells>
  <printOptions horizontalCentered="1" verticalCentered="1"/>
  <pageMargins left="0.23622047244094491" right="0.23622047244094491" top="0.74803149606299213" bottom="0.74803149606299213" header="0.31496062992125984" footer="0.31496062992125984"/>
  <pageSetup paperSize="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6</vt:i4>
      </vt:variant>
    </vt:vector>
  </HeadingPairs>
  <TitlesOfParts>
    <vt:vector size="16" baseType="lpstr">
      <vt:lpstr>Produtividade</vt:lpstr>
      <vt:lpstr>CUSTO GLOBAL SERVIÇO DE LIMPEZA</vt:lpstr>
      <vt:lpstr>Comp. Hom-Mês-Serv. DIÁRIA</vt:lpstr>
      <vt:lpstr>Comp. Hom-Mês-Serv. SEMANAL</vt:lpstr>
      <vt:lpstr>Comp. Hom-Mês-Serv. MENSAL</vt:lpstr>
      <vt:lpstr>2.3-Transporte</vt:lpstr>
      <vt:lpstr>2.3-Aux. Refeição-Alimentação</vt:lpstr>
      <vt:lpstr>ANEXO III-Materiais e Produtos</vt:lpstr>
      <vt:lpstr>ANEXO IV-Equip. e Utensílios</vt:lpstr>
      <vt:lpstr>ANEXO VI-Uniformes e EPIs</vt:lpstr>
      <vt:lpstr>'2.3-Transporte'!Area_de_impressao</vt:lpstr>
      <vt:lpstr>'ANEXO IV-Equip. e Utensílios'!Area_de_impressao</vt:lpstr>
      <vt:lpstr>'ANEXO VI-Uniformes e EPIs'!Area_de_impressao</vt:lpstr>
      <vt:lpstr>'Comp. Hom-Mês-Serv. DIÁRIA'!Area_de_impressao</vt:lpstr>
      <vt:lpstr>'Comp. Hom-Mês-Serv. MENSAL'!Area_de_impressao</vt:lpstr>
      <vt:lpstr>'Comp. Hom-Mês-Serv. SEMANAL'!Area_de_impressao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Luiz Felipe Lins Dantas</dc:creator>
  <cp:lastModifiedBy>Fabio Augusto da Cruz Lima</cp:lastModifiedBy>
  <cp:lastPrinted>2019-10-22T20:11:20Z</cp:lastPrinted>
  <dcterms:created xsi:type="dcterms:W3CDTF">2017-11-30T13:05:11Z</dcterms:created>
  <dcterms:modified xsi:type="dcterms:W3CDTF">2021-07-20T14:10:16Z</dcterms:modified>
</cp:coreProperties>
</file>